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60" windowWidth="20730" windowHeight="8655"/>
  </bookViews>
  <sheets>
    <sheet name="Karakteralkotás" sheetId="7" r:id="rId1"/>
    <sheet name="Kép" sheetId="15" r:id="rId2"/>
    <sheet name="Karakterlap" sheetId="1" r:id="rId3"/>
    <sheet name="Adattábla" sheetId="2" state="veryHidden" r:id="rId4"/>
    <sheet name="Fegyvertábla" sheetId="3" state="veryHidden" r:id="rId5"/>
    <sheet name="Vérttábla" sheetId="5" state="veryHidden" r:id="rId6"/>
    <sheet name="Csillagjegyek" sheetId="9" r:id="rId7"/>
    <sheet name="Származás" sheetId="10" r:id="rId8"/>
    <sheet name="Neveltetés" sheetId="11" r:id="rId9"/>
    <sheet name="Motivációk" sheetId="12" r:id="rId10"/>
    <sheet name="Kalandok" sheetId="13" r:id="rId11"/>
    <sheet name="E-H-K" sheetId="14" r:id="rId12"/>
  </sheets>
  <definedNames>
    <definedName name="_xlnm._FilterDatabase" localSheetId="3" hidden="1">Adattábla!$L$1:$CK$155</definedName>
    <definedName name="_xlnm._FilterDatabase" localSheetId="6" hidden="1">Csillagjegyek!$A$1:$H$33</definedName>
    <definedName name="_xlnm._FilterDatabase" localSheetId="11" hidden="1">'E-H-K'!$A$1:$C$58</definedName>
    <definedName name="_xlnm._FilterDatabase" localSheetId="4" hidden="1">Fegyvertábla!$A$1:$R$197</definedName>
    <definedName name="_xlnm._FilterDatabase" localSheetId="9" hidden="1">Motivációk!$A$1:$F$1</definedName>
    <definedName name="_xlnm._FilterDatabase" localSheetId="8" hidden="1">Neveltetés!$A$1:$F$1</definedName>
    <definedName name="_xlnm._FilterDatabase" localSheetId="7" hidden="1">Származás!$A$1:$F$1</definedName>
    <definedName name="_xlnm._FilterDatabase" localSheetId="5" hidden="1">Vérttábla!$A$1:$C$1</definedName>
    <definedName name="acélkéz">Fegyvertábla!$A$87</definedName>
    <definedName name="acélláb">Fegyvertábla!$A$104</definedName>
    <definedName name="akaraterő">Karakterlap!$G$10</definedName>
    <definedName name="alap_CÉ">Karakterlap!$U$17</definedName>
    <definedName name="alap_KÉ">Karakterlap!$L$17</definedName>
    <definedName name="alap_TÉ">Karakterlap!$O$17</definedName>
    <definedName name="alap_VÉ">Karakterlap!$R$17</definedName>
    <definedName name="alappont_ár">Adattábla!$J$17</definedName>
    <definedName name="állóképesség">Karakterlap!$G$6</definedName>
    <definedName name="amazon">Adattábla!$L$6</definedName>
    <definedName name="amund_köz">Adattábla!$A$24</definedName>
    <definedName name="amund_pap">Adattábla!$A$25</definedName>
    <definedName name="árnyvadász">Adattábla!$L$13</definedName>
    <definedName name="asztrál">Karakterlap!$G$11</definedName>
    <definedName name="bajvívó_iskolák">'E-H-K'!$A$35:$A$38</definedName>
    <definedName name="bajvívók">Adattábla!$L$15:$L$17</definedName>
    <definedName name="barbár">Adattábla!$L$18</definedName>
    <definedName name="barbár_kasztok">Adattábla!$H$41:$I$46</definedName>
    <definedName name="CÉ_alap">Adattábla!$H$62</definedName>
    <definedName name="célzó">Fegyvertábla!$B$8</definedName>
    <definedName name="csillagjegyek">Csillagjegyek!$A$2:$H$33</definedName>
    <definedName name="Den_Aliud">Adattábla!$L$17</definedName>
    <definedName name="dobásátlagok">Adattábla!$I$2:$J$11</definedName>
    <definedName name="dobások">Adattábla!$G$2:$J$11</definedName>
    <definedName name="Dp_vagyon">Karakteralkotás!$H$23</definedName>
    <definedName name="dzsenn">Adattábla!$A$26</definedName>
    <definedName name="edorli_gyalogos">Adattábla!$L$44</definedName>
    <definedName name="egészség">Karakterlap!$G$7</definedName>
    <definedName name="egyedi">Adattábla!$D$3</definedName>
    <definedName name="eldontendo">Adattábla!$H$14:$H$15</definedName>
    <definedName name="elf">Adattábla!$A$27</definedName>
    <definedName name="előnyök">'E-H-K'!$A$2:$C$13</definedName>
    <definedName name="előnyök_száma">Karakteralkotás!$F$11</definedName>
    <definedName name="ember">Adattábla!$A$77</definedName>
    <definedName name="erő">Karakterlap!$G$3</definedName>
    <definedName name="érzékelés">Karakterlap!$G$12</definedName>
    <definedName name="évek">Adattábla!$C$88:$H$98</definedName>
    <definedName name="extraHM">Karakteralkotás!$C$18</definedName>
    <definedName name="extraKp">Karakteralkotás!$C$19</definedName>
    <definedName name="faji_képességek">Adattábla!$A$112:$I$122</definedName>
    <definedName name="fajimaximumok">Adattábla!$B$38:$K$38</definedName>
    <definedName name="fajiminimumok">Adattábla!$B$37:$K$37</definedName>
    <definedName name="fajiminmax">Adattábla!$A$73:$K$83</definedName>
    <definedName name="fajok">Adattábla!$A$24:$K$34</definedName>
    <definedName name="fegyverek">Fegyvertábla!$A$2:$H$197</definedName>
    <definedName name="fegyvertelenCÉ">Karakterlap!$U$19</definedName>
    <definedName name="fegyvertelenKÉ">Karakterlap!$L$19</definedName>
    <definedName name="fegyvertelenTÉ">Karakterlap!$O$19</definedName>
    <definedName name="fegyvertelenVÉ">Karakterlap!$R$19</definedName>
    <definedName name="fejvadász">Adattábla!$L$50</definedName>
    <definedName name="félelf">Adattábla!$A$29</definedName>
    <definedName name="felhasználhatóTp">Adattábla!$C$17</definedName>
    <definedName name="felosztottHM">Karakterlap!$L$18:$W$18</definedName>
    <definedName name="felvett_előnyök_1">Karakteralkotás!$F$14:$I$16</definedName>
    <definedName name="felvett_előnyök_2">Karakteralkotás!$A$26:$A$29</definedName>
    <definedName name="felvett_hátrányok_1">Karakteralkotás!$F$19:$I$21</definedName>
    <definedName name="felvett_hátrányok_2">Karakteralkotás!$F$26:$I$29</definedName>
    <definedName name="felvett_képzések">Karakteralkotás!$C$26:$C$29</definedName>
    <definedName name="gladiátor">Adattábla!$L$61</definedName>
    <definedName name="gyorsaság">Karakterlap!$G$4</definedName>
    <definedName name="harciKp">Karakterlap!$G$31:$G$45</definedName>
    <definedName name="harcművész">Adattábla!$L$72</definedName>
    <definedName name="harcművész_iskolák">'E-H-K'!$A$31:$A$34</definedName>
    <definedName name="harcos">Adattábla!$L$73</definedName>
    <definedName name="hátrányok">'E-H-K'!$A$14:$C$30</definedName>
    <definedName name="hátrányok_száma">Karakteralkotás!$G$11</definedName>
    <definedName name="hegyi_barbár">Adattábla!$L$77</definedName>
    <definedName name="HM_CÉ">Karakterlap!$U$18</definedName>
    <definedName name="HM_kaszt">Karakterlap!$A$15</definedName>
    <definedName name="HM_KÉ">Karakterlap!$L$18</definedName>
    <definedName name="HM_TÉ">Karakterlap!$O$18</definedName>
    <definedName name="HM_VÉ">Karakterlap!$R$18</definedName>
    <definedName name="iker_kaszt">Adattábla!$J$14</definedName>
    <definedName name="ikerváltott">Adattábla!$J$14:$J$15</definedName>
    <definedName name="ilanori_vágtató">Adattábla!$L$80</definedName>
    <definedName name="ingyen_iskola">Karakteralkotás!$C$30</definedName>
    <definedName name="intelligencia">Karakterlap!$G$9</definedName>
    <definedName name="jellemek">Adattábla!$E$41:$F$52</definedName>
    <definedName name="k6dobás">Adattábla!$E$18</definedName>
    <definedName name="kaland_vagyon">Karakteralkotás!$H$11</definedName>
    <definedName name="kalandok">Kalandok!$A$2:$H$20</definedName>
    <definedName name="karakter_Dp">Karakteralkotás!$D$21</definedName>
    <definedName name="kardművész">Adattábla!$L$82</definedName>
    <definedName name="kaszt_szint_1">Karakterlap!$Y$3</definedName>
    <definedName name="kaszt_szint_2">Karakterlap!$Y$4</definedName>
    <definedName name="kasztok">Adattábla!$L$2:$CI$153</definedName>
    <definedName name="kategóriák">Adattábla!$C$87:$H$87</definedName>
    <definedName name="KÉ_alap">Adattábla!$E$62</definedName>
    <definedName name="kf_pont_ár">Adattábla!$J$18</definedName>
    <definedName name="khál">Adattábla!$A$30</definedName>
    <definedName name="kor">Karakterlap!$K$11</definedName>
    <definedName name="korkategóriák">Adattábla!$A$88:$H$98</definedName>
    <definedName name="korleírás">Adattábla!$I$88:$K$93</definedName>
    <definedName name="kormax">Adattábla!$K$95</definedName>
    <definedName name="kormin">Adattábla!$K$94</definedName>
    <definedName name="kormódosítók">Adattábla!$A$103:$K$108</definedName>
    <definedName name="kötelező_CÉ">Adattábla!$H$63</definedName>
    <definedName name="kötelező_KÉ">Adattábla!$E$63</definedName>
    <definedName name="kötelező_TÉ">Adattábla!$F$63</definedName>
    <definedName name="kötelező_VÉ">Adattábla!$G$63</definedName>
    <definedName name="Kpkeret">Karakterlap!$AI$22</definedName>
    <definedName name="Kpkonverzió">Karakterlap!$AI$23</definedName>
    <definedName name="különleges_képzések">'E-H-K'!$A$31:$C$58</definedName>
    <definedName name="leutaril">Adattábla!$L$88</definedName>
    <definedName name="lovag">Adattábla!$L$89</definedName>
    <definedName name="MaxMp">Karakterlap!$AA$12</definedName>
    <definedName name="MaxPszi">Karakterlap!$AI$15</definedName>
    <definedName name="motivációk">Motivációk!$A$2:$F$9</definedName>
    <definedName name="mp_ár">Adattábla!$C$16</definedName>
    <definedName name="nasti_könnyűlovas">Adattábla!$L$97</definedName>
    <definedName name="neveltetések">Neveltetés!$A$2:$F$10</definedName>
    <definedName name="nincsen">Adattábla!$D$2</definedName>
    <definedName name="Noir_Bálványtagadó">Adattábla!$L$98</definedName>
    <definedName name="Noir_Befogadott">Adattábla!$L$99</definedName>
    <definedName name="nomád_harcos">Adattábla!$L$100</definedName>
    <definedName name="nomád_kasztok">Adattábla!$H$49:$I$50</definedName>
    <definedName name="nomád_sámán">Adattábla!$L$101</definedName>
    <definedName name="nyelvek">Adattábla!$A$41:$A$62</definedName>
    <definedName name="nyelvKp">Karakterlap!$AH$36:$AH$42</definedName>
    <definedName name="_xlnm.Print_Area" localSheetId="0">Karakteralkotás!$A$1:$I$31</definedName>
    <definedName name="osztható_HM">Adattábla!$I$63:$I$64</definedName>
    <definedName name="osztottszázalék">Karakterlap!$AI$25:$AJ$34</definedName>
    <definedName name="ököl">Fegyvertábla!$A$134</definedName>
    <definedName name="ősinyelvek">Adattábla!$C$41:$C$51</definedName>
    <definedName name="ősinyelvKp">Karakterlap!$AH$44:$AH$45</definedName>
    <definedName name="pénzTp">Karakterlap!$AH$6</definedName>
    <definedName name="pénzváltás">Adattábla!$C$18</definedName>
    <definedName name="pszi_ár">Adattábla!$C$15</definedName>
    <definedName name="pszi_iskola_1">Adattábla!$C$68</definedName>
    <definedName name="pszi_iskola_2">Adattábla!$C$69</definedName>
    <definedName name="pszi_kaszt_1">Adattábla!$A$68</definedName>
    <definedName name="pszi_kaszt_2">Adattábla!$A$69</definedName>
    <definedName name="pszi_mester">Adattábla!$L$110</definedName>
    <definedName name="pszi_választás">Adattábla!$A$68:$J$69</definedName>
    <definedName name="PsziIskola">Karakterlap!$AE$14</definedName>
    <definedName name="PsziKp">Karakterlap!$AA$15</definedName>
    <definedName name="pszitipusok">Adattábla!$D$2:$E$7</definedName>
    <definedName name="pyarroni">Adattábla!$D$4</definedName>
    <definedName name="ramkir">Adattábla!$L$114</definedName>
    <definedName name="rhó">Adattábla!$L$119</definedName>
    <definedName name="shenar">Adattábla!$L$120</definedName>
    <definedName name="származások">Származás!$A$2:$F$8</definedName>
    <definedName name="szépség">Karakterlap!$G$8</definedName>
    <definedName name="szerzett_Dp">Karakteralkotás!$D$11</definedName>
    <definedName name="tanultAfkaszt">Karakterlap!$O$15</definedName>
    <definedName name="tanultAfTSZ">Karakterlap!$P$15</definedName>
    <definedName name="tanultMfkaszt">Karakterlap!$X$15</definedName>
    <definedName name="tanultMfTSZ">Karakterlap!$Y$15</definedName>
    <definedName name="tapasztaltharcos">Fegyvertábla!$B$203:$D$210</definedName>
    <definedName name="TÉ_alap">Adattábla!$F$62</definedName>
    <definedName name="tomatis">Adattábla!$L$134</definedName>
    <definedName name="többes_kaszt">Karakterlap!$P$5</definedName>
    <definedName name="törpe">Adattábla!$A$32</definedName>
    <definedName name="tudományosKp">Karakterlap!$P$31:$P$45</definedName>
    <definedName name="tulajdonság_átlagok">Adattábla!$A$2:$B$11</definedName>
    <definedName name="tulajdonságátlag">Karakterlap!$G$13</definedName>
    <definedName name="tulajdonságok">Karakterlap!$G$3:$H$12</definedName>
    <definedName name="udvari_ork">Adattábla!$A$33</definedName>
    <definedName name="ügyesség">Karakterlap!$G$5</definedName>
    <definedName name="választott_csillagjegy">Karakteralkotás!$C$4</definedName>
    <definedName name="választott_faj">Karakterlap!$V$7</definedName>
    <definedName name="választott_kaszt_1">Karakterlap!$P$3</definedName>
    <definedName name="választott_kaszt_2">Karakterlap!$P$4</definedName>
    <definedName name="választott_kasztok">Karakterlap!$P$3:$Z$4</definedName>
    <definedName name="választott_korketegória">Adattábla!$K$96</definedName>
    <definedName name="választottpáncél">Karakterlap!$L$13</definedName>
    <definedName name="váltás_kezdet">Karakterlap!$P$6</definedName>
    <definedName name="váltott_HM_szint">Adattábla!$I$20</definedName>
    <definedName name="váltott_kaszt">Adattábla!$J$15</definedName>
    <definedName name="VÉ_alap">Adattábla!$G$62</definedName>
    <definedName name="vértek">Vérttábla!$A$2:$D$47</definedName>
    <definedName name="világi_képzettségek">Karakterlap!$R$31:$Z$45</definedName>
    <definedName name="világiKp">Karakterlap!$X$31:$X$45</definedName>
    <definedName name="yllinori_sas">Adattábla!$L$151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M1" i="1"/>
  <c r="Z13" i="2"/>
  <c r="S29" i="1" l="1"/>
  <c r="S28"/>
  <c r="S27"/>
  <c r="S26"/>
  <c r="S25"/>
  <c r="S24"/>
  <c r="S23"/>
  <c r="S22"/>
  <c r="S21"/>
  <c r="AO124" i="2"/>
  <c r="AD17" l="1"/>
  <c r="AH113" l="1"/>
  <c r="C209" i="3" l="1"/>
  <c r="D209"/>
  <c r="B209"/>
  <c r="C210"/>
  <c r="B210"/>
  <c r="AO92" i="2"/>
  <c r="AN92"/>
  <c r="BK92"/>
  <c r="BJ92"/>
  <c r="BI92"/>
  <c r="BH92"/>
  <c r="BG92"/>
  <c r="BF92"/>
  <c r="BE92"/>
  <c r="BD92"/>
  <c r="BC92"/>
  <c r="BB92"/>
  <c r="BA92"/>
  <c r="AL92"/>
  <c r="AH92"/>
  <c r="AG92"/>
  <c r="AF92"/>
  <c r="AE92"/>
  <c r="AD92"/>
  <c r="Y92"/>
  <c r="BK93"/>
  <c r="BJ93"/>
  <c r="BI93"/>
  <c r="BH93"/>
  <c r="BG93"/>
  <c r="BF93"/>
  <c r="BE93"/>
  <c r="BD93"/>
  <c r="BC93"/>
  <c r="BB93"/>
  <c r="BA93"/>
  <c r="AO93"/>
  <c r="AN93"/>
  <c r="AL93"/>
  <c r="AH93"/>
  <c r="AG93"/>
  <c r="AF93"/>
  <c r="AE93"/>
  <c r="AD93"/>
  <c r="Y93"/>
  <c r="AH90"/>
  <c r="AG90"/>
  <c r="AO90"/>
  <c r="BK90"/>
  <c r="BJ90"/>
  <c r="BI90"/>
  <c r="BH90"/>
  <c r="BG90"/>
  <c r="BF90"/>
  <c r="BE90"/>
  <c r="BD90"/>
  <c r="BC90"/>
  <c r="BB90"/>
  <c r="BA90"/>
  <c r="AN90"/>
  <c r="AL90"/>
  <c r="AF90"/>
  <c r="AE90"/>
  <c r="AD90"/>
  <c r="Y90"/>
  <c r="BK91"/>
  <c r="BJ91"/>
  <c r="BI91"/>
  <c r="BH91"/>
  <c r="BG91"/>
  <c r="BF91"/>
  <c r="BE91"/>
  <c r="BD91"/>
  <c r="BC91"/>
  <c r="BB91"/>
  <c r="BA91"/>
  <c r="AO91"/>
  <c r="AN91"/>
  <c r="AL91"/>
  <c r="AH91"/>
  <c r="AG91"/>
  <c r="AF91"/>
  <c r="AE91"/>
  <c r="AD91"/>
  <c r="Y91"/>
  <c r="C206" i="3"/>
  <c r="D206"/>
  <c r="B206"/>
  <c r="H50" i="2"/>
  <c r="H49"/>
  <c r="H46"/>
  <c r="H45"/>
  <c r="H44"/>
  <c r="C207" i="3"/>
  <c r="C208"/>
  <c r="B208"/>
  <c r="B207"/>
  <c r="C203"/>
  <c r="B203"/>
  <c r="AH138" i="2"/>
  <c r="AG113"/>
  <c r="AN113"/>
  <c r="AO113"/>
  <c r="AL113"/>
  <c r="AK113"/>
  <c r="AJ113"/>
  <c r="AF113"/>
  <c r="AE113"/>
  <c r="AD113"/>
  <c r="AB113"/>
  <c r="AA113"/>
  <c r="Z113"/>
  <c r="AN33"/>
  <c r="AN32"/>
  <c r="AN31"/>
  <c r="AO89"/>
  <c r="AO33"/>
  <c r="AO32"/>
  <c r="AN100"/>
  <c r="AN101"/>
  <c r="AO31"/>
  <c r="AO68"/>
  <c r="AO67"/>
  <c r="AO66"/>
  <c r="AO65"/>
  <c r="AO64"/>
  <c r="AO53"/>
  <c r="AO52"/>
  <c r="AO51"/>
  <c r="AO50"/>
  <c r="AO20"/>
  <c r="AO19"/>
  <c r="AO13"/>
  <c r="AN89"/>
  <c r="AH31"/>
  <c r="AH32"/>
  <c r="AH33"/>
  <c r="AF32"/>
  <c r="AF33"/>
  <c r="AF31"/>
  <c r="AE31"/>
  <c r="AE32"/>
  <c r="AE33"/>
  <c r="AD4"/>
  <c r="AD31"/>
  <c r="AD32"/>
  <c r="AD33"/>
  <c r="Z33"/>
  <c r="AC33"/>
  <c r="AB33"/>
  <c r="AA33"/>
  <c r="AB32"/>
  <c r="AA32"/>
  <c r="Z32"/>
  <c r="AB31"/>
  <c r="AA31"/>
  <c r="AA5"/>
  <c r="Z31"/>
  <c r="AG33"/>
  <c r="AG32"/>
  <c r="AG31"/>
  <c r="AI34" i="1"/>
  <c r="AI29"/>
  <c r="AI28"/>
  <c r="AI27"/>
  <c r="AI25"/>
  <c r="AI33" i="2"/>
  <c r="AJ33"/>
  <c r="AJ32"/>
  <c r="AJ31"/>
  <c r="AK33"/>
  <c r="AK32"/>
  <c r="AK31"/>
  <c r="AL33"/>
  <c r="AL32"/>
  <c r="AL31"/>
  <c r="AM33"/>
  <c r="AM32"/>
  <c r="AM31"/>
  <c r="BG33"/>
  <c r="BK33"/>
  <c r="BJ33"/>
  <c r="BI33"/>
  <c r="BH33"/>
  <c r="BF33"/>
  <c r="BE33"/>
  <c r="BD33"/>
  <c r="BC33"/>
  <c r="BB33"/>
  <c r="BG32"/>
  <c r="BK32"/>
  <c r="BJ32"/>
  <c r="BI32"/>
  <c r="BH32"/>
  <c r="BF32"/>
  <c r="BE32"/>
  <c r="BD32"/>
  <c r="BC32"/>
  <c r="BB32"/>
  <c r="BG31"/>
  <c r="BK31"/>
  <c r="BJ31"/>
  <c r="BI31"/>
  <c r="BH31"/>
  <c r="BF31"/>
  <c r="BE31"/>
  <c r="BD31"/>
  <c r="BC31"/>
  <c r="BB31"/>
  <c r="BA33"/>
  <c r="BA32"/>
  <c r="BA31"/>
  <c r="Y33"/>
  <c r="Y32"/>
  <c r="Y31"/>
  <c r="AS4"/>
  <c r="AH5"/>
  <c r="AH4"/>
  <c r="AO5"/>
  <c r="BA5"/>
  <c r="BA107"/>
  <c r="BB5"/>
  <c r="BC5"/>
  <c r="BD5"/>
  <c r="BE5"/>
  <c r="BF5"/>
  <c r="BG5"/>
  <c r="BH5"/>
  <c r="BI5"/>
  <c r="BJ5"/>
  <c r="BK5"/>
  <c r="AL5"/>
  <c r="AK5"/>
  <c r="AJ5"/>
  <c r="AI5"/>
  <c r="AG5"/>
  <c r="AF5"/>
  <c r="AF4"/>
  <c r="AE5"/>
  <c r="AE4"/>
  <c r="Z5"/>
  <c r="AB5"/>
  <c r="AC5"/>
  <c r="AD5"/>
  <c r="Y5"/>
  <c r="C16" i="7"/>
  <c r="D23"/>
  <c r="A30"/>
  <c r="C204" i="3"/>
  <c r="B204"/>
  <c r="AH6" i="2"/>
  <c r="C25" i="7" l="1"/>
  <c r="C113" i="2"/>
  <c r="B112"/>
  <c r="AA3" i="1" s="1"/>
  <c r="AA9"/>
  <c r="AA8"/>
  <c r="AA7"/>
  <c r="AA5"/>
  <c r="AA4"/>
  <c r="I116" i="2"/>
  <c r="AA10" i="1" s="1"/>
  <c r="AK19"/>
  <c r="AL20"/>
  <c r="AK20"/>
  <c r="AL21"/>
  <c r="AK21"/>
  <c r="AN152" i="2" l="1"/>
  <c r="AN138"/>
  <c r="AN137"/>
  <c r="AN133"/>
  <c r="AN126"/>
  <c r="AN121"/>
  <c r="AN109"/>
  <c r="AN108"/>
  <c r="AN97"/>
  <c r="AN94"/>
  <c r="AN86"/>
  <c r="AN83"/>
  <c r="AN80"/>
  <c r="AN79"/>
  <c r="AN75"/>
  <c r="AN74"/>
  <c r="AN73"/>
  <c r="AN71"/>
  <c r="AN69"/>
  <c r="AN63"/>
  <c r="AN62"/>
  <c r="AN61"/>
  <c r="AN58"/>
  <c r="AN49"/>
  <c r="AN48"/>
  <c r="AN47"/>
  <c r="AN46"/>
  <c r="AN44"/>
  <c r="AN42"/>
  <c r="AN41"/>
  <c r="AN30"/>
  <c r="AN23"/>
  <c r="AN14"/>
  <c r="AN12"/>
  <c r="AN2"/>
  <c r="AO153"/>
  <c r="AO151"/>
  <c r="AO150"/>
  <c r="AO149"/>
  <c r="AO136"/>
  <c r="AO102"/>
  <c r="AO70"/>
  <c r="AO21"/>
  <c r="AO17"/>
  <c r="AO16"/>
  <c r="AO15"/>
  <c r="AO11"/>
  <c r="AO10"/>
  <c r="AO9"/>
  <c r="H43" l="1"/>
  <c r="H42"/>
  <c r="H41"/>
  <c r="AF19" i="1"/>
  <c r="AA19"/>
  <c r="AF18"/>
  <c r="AA18"/>
  <c r="AO132" i="2"/>
  <c r="AO152"/>
  <c r="AO138"/>
  <c r="AO137"/>
  <c r="AO133"/>
  <c r="AO126"/>
  <c r="AO121"/>
  <c r="AO109"/>
  <c r="AO108"/>
  <c r="AO97"/>
  <c r="AO94"/>
  <c r="AO86"/>
  <c r="AO83"/>
  <c r="AO80"/>
  <c r="AO79"/>
  <c r="AO75"/>
  <c r="AO74"/>
  <c r="AO73"/>
  <c r="AO71"/>
  <c r="AO69"/>
  <c r="AO63"/>
  <c r="AO62"/>
  <c r="AO61"/>
  <c r="AO58"/>
  <c r="AO49"/>
  <c r="AO48"/>
  <c r="AO47"/>
  <c r="AO46"/>
  <c r="AO44"/>
  <c r="AO42"/>
  <c r="AO41"/>
  <c r="AO30"/>
  <c r="AO23"/>
  <c r="AO14"/>
  <c r="AO12"/>
  <c r="AO2"/>
  <c r="J69"/>
  <c r="AO101"/>
  <c r="AO100"/>
  <c r="I69"/>
  <c r="A69"/>
  <c r="A68"/>
  <c r="AD119"/>
  <c r="BK78"/>
  <c r="BJ78"/>
  <c r="BI78"/>
  <c r="BH78"/>
  <c r="BG78"/>
  <c r="BF78"/>
  <c r="BE78"/>
  <c r="BD78"/>
  <c r="BC78"/>
  <c r="BB78"/>
  <c r="BA78"/>
  <c r="AL78"/>
  <c r="AH78"/>
  <c r="AG78"/>
  <c r="AF78"/>
  <c r="AE78"/>
  <c r="AD78"/>
  <c r="Y78"/>
  <c r="BH119"/>
  <c r="BD119"/>
  <c r="BC119"/>
  <c r="BB119"/>
  <c r="BA119"/>
  <c r="AL119"/>
  <c r="AH119"/>
  <c r="AG119"/>
  <c r="AE119"/>
  <c r="Y119"/>
  <c r="BJ119"/>
  <c r="BK128"/>
  <c r="BH128"/>
  <c r="BG128"/>
  <c r="BF128"/>
  <c r="BD128"/>
  <c r="BC128"/>
  <c r="BB128"/>
  <c r="BA128"/>
  <c r="AL128"/>
  <c r="AH128"/>
  <c r="AG128"/>
  <c r="AF128"/>
  <c r="AD128"/>
  <c r="Z128"/>
  <c r="Y128"/>
  <c r="BJ128"/>
  <c r="BK76"/>
  <c r="BJ76"/>
  <c r="BG76"/>
  <c r="BF76"/>
  <c r="BC76"/>
  <c r="BB76"/>
  <c r="BA76"/>
  <c r="AL76"/>
  <c r="AH76"/>
  <c r="AG76"/>
  <c r="AE76"/>
  <c r="AD76"/>
  <c r="BH76"/>
  <c r="BK152"/>
  <c r="BJ152"/>
  <c r="BI152"/>
  <c r="BH152"/>
  <c r="BG152"/>
  <c r="BF152"/>
  <c r="BE152"/>
  <c r="BD152"/>
  <c r="BC152"/>
  <c r="BB152"/>
  <c r="BA152"/>
  <c r="AL152"/>
  <c r="AH152"/>
  <c r="AG152"/>
  <c r="AF152"/>
  <c r="AE152"/>
  <c r="AD152"/>
  <c r="Y152"/>
  <c r="BA120"/>
  <c r="Y120"/>
  <c r="AL120"/>
  <c r="AI120"/>
  <c r="AH120"/>
  <c r="AG120"/>
  <c r="AF120"/>
  <c r="AE120"/>
  <c r="AD120"/>
  <c r="BK120"/>
  <c r="BJ120"/>
  <c r="BI120"/>
  <c r="BH120"/>
  <c r="BG120"/>
  <c r="BF120"/>
  <c r="BE120"/>
  <c r="BD120"/>
  <c r="BC120"/>
  <c r="BB120"/>
  <c r="BK110"/>
  <c r="BJ110"/>
  <c r="BI110"/>
  <c r="BH110"/>
  <c r="BG110"/>
  <c r="BF110"/>
  <c r="BE110"/>
  <c r="BD110"/>
  <c r="BC110"/>
  <c r="BB110"/>
  <c r="BA110"/>
  <c r="AL110"/>
  <c r="AH110"/>
  <c r="AG110"/>
  <c r="AF110"/>
  <c r="AE110"/>
  <c r="AD110"/>
  <c r="Y110"/>
  <c r="B205" i="3" l="1"/>
  <c r="C205"/>
  <c r="AA15" i="1"/>
  <c r="AF119" i="2"/>
  <c r="BE119"/>
  <c r="BI119"/>
  <c r="BG119"/>
  <c r="BK119"/>
  <c r="BF119"/>
  <c r="AE128"/>
  <c r="AI128"/>
  <c r="BE128"/>
  <c r="BI128"/>
  <c r="Y76"/>
  <c r="BE76"/>
  <c r="BI76"/>
  <c r="AF76"/>
  <c r="BD76"/>
  <c r="BK79"/>
  <c r="BJ79"/>
  <c r="BI79"/>
  <c r="BH79"/>
  <c r="BG79"/>
  <c r="BF79"/>
  <c r="BE79"/>
  <c r="BD79"/>
  <c r="BC79"/>
  <c r="BB79"/>
  <c r="AM79"/>
  <c r="AL79"/>
  <c r="AI79"/>
  <c r="AH79"/>
  <c r="AG79"/>
  <c r="AF79"/>
  <c r="AE79"/>
  <c r="AD79"/>
  <c r="BA79"/>
  <c r="Y79"/>
  <c r="AM13"/>
  <c r="I104" i="3"/>
  <c r="C104"/>
  <c r="I87"/>
  <c r="C87"/>
  <c r="C86"/>
  <c r="BK13" i="2"/>
  <c r="BJ13"/>
  <c r="BI13"/>
  <c r="BH13"/>
  <c r="BG13"/>
  <c r="BF13"/>
  <c r="BE13"/>
  <c r="BD13"/>
  <c r="BC13"/>
  <c r="BB13"/>
  <c r="AL13"/>
  <c r="AI13"/>
  <c r="AH13"/>
  <c r="AG13"/>
  <c r="AF13"/>
  <c r="AE13"/>
  <c r="AD13"/>
  <c r="BA13"/>
  <c r="Y13"/>
  <c r="AS100"/>
  <c r="AR100"/>
  <c r="AL100"/>
  <c r="AH100"/>
  <c r="AG100"/>
  <c r="BK100"/>
  <c r="BJ100"/>
  <c r="BI100"/>
  <c r="BH100"/>
  <c r="BG100"/>
  <c r="BF100"/>
  <c r="BE100"/>
  <c r="BD100"/>
  <c r="BC100"/>
  <c r="BB100"/>
  <c r="BA100"/>
  <c r="AF100"/>
  <c r="AE100"/>
  <c r="AD100"/>
  <c r="Y100"/>
  <c r="Y65"/>
  <c r="Z65"/>
  <c r="AD65"/>
  <c r="AE65"/>
  <c r="AF65"/>
  <c r="AG65"/>
  <c r="AH65"/>
  <c r="AI65"/>
  <c r="AL65"/>
  <c r="BA65"/>
  <c r="BB65"/>
  <c r="BC65"/>
  <c r="BD65"/>
  <c r="BE65"/>
  <c r="BF65"/>
  <c r="BG65"/>
  <c r="BH65"/>
  <c r="BI65"/>
  <c r="BJ65"/>
  <c r="BK65"/>
  <c r="Y66"/>
  <c r="Z66"/>
  <c r="AD66"/>
  <c r="AE66"/>
  <c r="AF66"/>
  <c r="AG66"/>
  <c r="AH66"/>
  <c r="AI66"/>
  <c r="AL66"/>
  <c r="BA66"/>
  <c r="BB66"/>
  <c r="BC66"/>
  <c r="BD66"/>
  <c r="BE66"/>
  <c r="BF66"/>
  <c r="BG66"/>
  <c r="BH66"/>
  <c r="BI66"/>
  <c r="BJ66"/>
  <c r="BK66"/>
  <c r="Y67"/>
  <c r="Z67"/>
  <c r="AD67"/>
  <c r="AE67"/>
  <c r="AF67"/>
  <c r="AG67"/>
  <c r="AH67"/>
  <c r="AI67"/>
  <c r="AL67"/>
  <c r="BA67"/>
  <c r="BB67"/>
  <c r="BC67"/>
  <c r="BD67"/>
  <c r="BE67"/>
  <c r="BF67"/>
  <c r="BG67"/>
  <c r="BH67"/>
  <c r="BI67"/>
  <c r="BJ67"/>
  <c r="BK67"/>
  <c r="Y68"/>
  <c r="Z68"/>
  <c r="AD68"/>
  <c r="AE68"/>
  <c r="AF68"/>
  <c r="AG68"/>
  <c r="AH68"/>
  <c r="AI68"/>
  <c r="AL68"/>
  <c r="BA68"/>
  <c r="BB68"/>
  <c r="BC68"/>
  <c r="BD68"/>
  <c r="BE68"/>
  <c r="BF68"/>
  <c r="BG68"/>
  <c r="BH68"/>
  <c r="BI68"/>
  <c r="BJ68"/>
  <c r="BK68"/>
  <c r="BK64"/>
  <c r="BJ64"/>
  <c r="BI64"/>
  <c r="BH64"/>
  <c r="BG64"/>
  <c r="BF64"/>
  <c r="BE64"/>
  <c r="BD64"/>
  <c r="BC64"/>
  <c r="BB64"/>
  <c r="BA64"/>
  <c r="AL64"/>
  <c r="AI64"/>
  <c r="AH64"/>
  <c r="AG64"/>
  <c r="AF64"/>
  <c r="AE64"/>
  <c r="AD64"/>
  <c r="Z64"/>
  <c r="Y64"/>
  <c r="BK53"/>
  <c r="BJ53"/>
  <c r="BI53"/>
  <c r="BH53"/>
  <c r="BG53"/>
  <c r="BF53"/>
  <c r="BE53"/>
  <c r="BD53"/>
  <c r="BC53"/>
  <c r="BB53"/>
  <c r="BA53"/>
  <c r="AL53"/>
  <c r="AI53"/>
  <c r="AH53"/>
  <c r="AG53"/>
  <c r="AF53"/>
  <c r="AE53"/>
  <c r="AD53"/>
  <c r="Z53"/>
  <c r="Y53"/>
  <c r="BA77"/>
  <c r="Y77"/>
  <c r="AL77"/>
  <c r="AI77"/>
  <c r="AH77"/>
  <c r="AE77"/>
  <c r="AD77"/>
  <c r="BK77"/>
  <c r="BJ77"/>
  <c r="BI77"/>
  <c r="BH77"/>
  <c r="BG77"/>
  <c r="BF77"/>
  <c r="BE77"/>
  <c r="BD77"/>
  <c r="BC77"/>
  <c r="BB77"/>
  <c r="AG77"/>
  <c r="AF77"/>
  <c r="AI12"/>
  <c r="AH12"/>
  <c r="AF12"/>
  <c r="AE12"/>
  <c r="BK12"/>
  <c r="BJ12"/>
  <c r="BI12"/>
  <c r="BH12"/>
  <c r="BG12"/>
  <c r="BF12"/>
  <c r="BE12"/>
  <c r="BD12"/>
  <c r="BC12"/>
  <c r="BB12"/>
  <c r="BA12"/>
  <c r="AL12"/>
  <c r="AG12"/>
  <c r="AD12"/>
  <c r="Y12"/>
  <c r="AI83"/>
  <c r="AG83"/>
  <c r="AF83"/>
  <c r="AE83"/>
  <c r="BK83"/>
  <c r="BJ83"/>
  <c r="BI83"/>
  <c r="BH83"/>
  <c r="BG83"/>
  <c r="BF83"/>
  <c r="BE83"/>
  <c r="BD83"/>
  <c r="BC83"/>
  <c r="BB83"/>
  <c r="BA83"/>
  <c r="AL83"/>
  <c r="AH83"/>
  <c r="AD83"/>
  <c r="Y83"/>
  <c r="AI94"/>
  <c r="AH94"/>
  <c r="AG94"/>
  <c r="AF94"/>
  <c r="AE94"/>
  <c r="BK94"/>
  <c r="BJ94"/>
  <c r="BI94"/>
  <c r="BH94"/>
  <c r="BG94"/>
  <c r="BF94"/>
  <c r="BE94"/>
  <c r="BD94"/>
  <c r="BC94"/>
  <c r="BB94"/>
  <c r="BA94"/>
  <c r="AL94"/>
  <c r="AD94"/>
  <c r="Y94"/>
  <c r="D15" i="7"/>
  <c r="AI52" i="2"/>
  <c r="AI51"/>
  <c r="BK52"/>
  <c r="BJ52"/>
  <c r="BI52"/>
  <c r="BH52"/>
  <c r="BG52"/>
  <c r="BF52"/>
  <c r="BE52"/>
  <c r="BD52"/>
  <c r="BC52"/>
  <c r="BB52"/>
  <c r="BA52"/>
  <c r="AL52"/>
  <c r="AH52"/>
  <c r="AG52"/>
  <c r="AF52"/>
  <c r="AE52"/>
  <c r="AD52"/>
  <c r="Z52"/>
  <c r="Y52"/>
  <c r="BK51"/>
  <c r="BJ51"/>
  <c r="BI51"/>
  <c r="BH51"/>
  <c r="BG51"/>
  <c r="BF51"/>
  <c r="BE51"/>
  <c r="BD51"/>
  <c r="BC51"/>
  <c r="BB51"/>
  <c r="BA51"/>
  <c r="AL51"/>
  <c r="AH51"/>
  <c r="AG51"/>
  <c r="AF51"/>
  <c r="AE51"/>
  <c r="AD51"/>
  <c r="Z51"/>
  <c r="Y51"/>
  <c r="AX21"/>
  <c r="BK21"/>
  <c r="BJ21"/>
  <c r="BI21"/>
  <c r="BH21"/>
  <c r="BG21"/>
  <c r="BF21"/>
  <c r="BE21"/>
  <c r="BD21"/>
  <c r="BC21"/>
  <c r="BB21"/>
  <c r="BA21"/>
  <c r="AL21"/>
  <c r="AI21"/>
  <c r="AH21"/>
  <c r="AG21"/>
  <c r="AF21"/>
  <c r="AE21"/>
  <c r="AD21"/>
  <c r="Y21"/>
  <c r="BK20"/>
  <c r="BJ20"/>
  <c r="BI20"/>
  <c r="BH20"/>
  <c r="BG20"/>
  <c r="BF20"/>
  <c r="BE20"/>
  <c r="BD20"/>
  <c r="BC20"/>
  <c r="BB20"/>
  <c r="BA20"/>
  <c r="AL20"/>
  <c r="AH20"/>
  <c r="AG20"/>
  <c r="AF20"/>
  <c r="AE20"/>
  <c r="AD20"/>
  <c r="Y20"/>
  <c r="Y54"/>
  <c r="BA54"/>
  <c r="AM54"/>
  <c r="AL54"/>
  <c r="AI54"/>
  <c r="AH54"/>
  <c r="AG54"/>
  <c r="AF54"/>
  <c r="AE54"/>
  <c r="AD54"/>
  <c r="BK54"/>
  <c r="BJ54"/>
  <c r="BI54"/>
  <c r="BH54"/>
  <c r="BG54"/>
  <c r="BF54"/>
  <c r="BE54"/>
  <c r="BD54"/>
  <c r="BC54"/>
  <c r="BB54"/>
  <c r="AM143"/>
  <c r="AL143"/>
  <c r="AH143"/>
  <c r="AG143"/>
  <c r="AF143"/>
  <c r="AE143"/>
  <c r="AD143"/>
  <c r="Y143"/>
  <c r="BA143"/>
  <c r="BK143"/>
  <c r="BJ143"/>
  <c r="BI143"/>
  <c r="BH143"/>
  <c r="BG143"/>
  <c r="BF143"/>
  <c r="BE143"/>
  <c r="BD143"/>
  <c r="BC143"/>
  <c r="BB143"/>
  <c r="BK147"/>
  <c r="BJ147"/>
  <c r="BI147"/>
  <c r="BH147"/>
  <c r="BG147"/>
  <c r="BF147"/>
  <c r="BE147"/>
  <c r="BD147"/>
  <c r="BC147"/>
  <c r="BB147"/>
  <c r="AH147"/>
  <c r="AG147"/>
  <c r="Y147"/>
  <c r="BA147"/>
  <c r="AM147"/>
  <c r="AL147"/>
  <c r="AF147"/>
  <c r="AE147"/>
  <c r="AD147"/>
  <c r="Y148"/>
  <c r="BA148"/>
  <c r="AM148"/>
  <c r="AL148"/>
  <c r="AI148"/>
  <c r="AH148"/>
  <c r="AG148"/>
  <c r="AF148"/>
  <c r="AE148"/>
  <c r="AD148"/>
  <c r="BK148"/>
  <c r="BJ148"/>
  <c r="BI148"/>
  <c r="BH148"/>
  <c r="BG148"/>
  <c r="BF148"/>
  <c r="BE148"/>
  <c r="BD148"/>
  <c r="BC148"/>
  <c r="BB148"/>
  <c r="AI26"/>
  <c r="AH26"/>
  <c r="AG26"/>
  <c r="BK26"/>
  <c r="BJ26"/>
  <c r="BI26"/>
  <c r="BH26"/>
  <c r="BG26"/>
  <c r="BF26"/>
  <c r="BE26"/>
  <c r="BD26"/>
  <c r="BC26"/>
  <c r="BB26"/>
  <c r="BA26"/>
  <c r="AM26"/>
  <c r="AL26"/>
  <c r="AF26"/>
  <c r="AE26"/>
  <c r="AD26"/>
  <c r="Y26"/>
  <c r="BK8"/>
  <c r="BJ8"/>
  <c r="BI8"/>
  <c r="BH8"/>
  <c r="BG8"/>
  <c r="BF8"/>
  <c r="BE8"/>
  <c r="BD8"/>
  <c r="BC8"/>
  <c r="BB8"/>
  <c r="BA8"/>
  <c r="AM8"/>
  <c r="AL8"/>
  <c r="AH8"/>
  <c r="AG8"/>
  <c r="AF8"/>
  <c r="AE8"/>
  <c r="AD8"/>
  <c r="Y8"/>
  <c r="AM141"/>
  <c r="BK141"/>
  <c r="BJ141"/>
  <c r="BI141"/>
  <c r="BH141"/>
  <c r="BG141"/>
  <c r="BF141"/>
  <c r="BE141"/>
  <c r="BD141"/>
  <c r="BC141"/>
  <c r="BB141"/>
  <c r="BA141"/>
  <c r="AL141"/>
  <c r="AH141"/>
  <c r="AG141"/>
  <c r="AF141"/>
  <c r="AE141"/>
  <c r="AD141"/>
  <c r="Y141"/>
  <c r="BK146"/>
  <c r="BJ146"/>
  <c r="BI146"/>
  <c r="BH146"/>
  <c r="BG146"/>
  <c r="BF146"/>
  <c r="BE146"/>
  <c r="BD146"/>
  <c r="BC146"/>
  <c r="BB146"/>
  <c r="BA146"/>
  <c r="AM146"/>
  <c r="AL146"/>
  <c r="AH146"/>
  <c r="AG146"/>
  <c r="AF146"/>
  <c r="AE146"/>
  <c r="AD146"/>
  <c r="Y146"/>
  <c r="BK145"/>
  <c r="BJ145"/>
  <c r="BI145"/>
  <c r="BH145"/>
  <c r="BG145"/>
  <c r="BF145"/>
  <c r="BE145"/>
  <c r="BD145"/>
  <c r="BC145"/>
  <c r="BB145"/>
  <c r="BA145"/>
  <c r="AM145"/>
  <c r="AL145"/>
  <c r="AH145"/>
  <c r="AG145"/>
  <c r="AF145"/>
  <c r="AE145"/>
  <c r="AD145"/>
  <c r="Y145"/>
  <c r="G147" i="3"/>
  <c r="C135"/>
  <c r="C147"/>
  <c r="A25" i="7"/>
  <c r="D5"/>
  <c r="D6"/>
  <c r="D10"/>
  <c r="D9"/>
  <c r="D8"/>
  <c r="D7"/>
  <c r="I10"/>
  <c r="H10"/>
  <c r="G10"/>
  <c r="F10"/>
  <c r="I9"/>
  <c r="H9"/>
  <c r="G9"/>
  <c r="F9"/>
  <c r="I8"/>
  <c r="H8"/>
  <c r="G8"/>
  <c r="F8"/>
  <c r="H7"/>
  <c r="G7"/>
  <c r="F7"/>
  <c r="H6"/>
  <c r="G6"/>
  <c r="F6"/>
  <c r="H5"/>
  <c r="G5"/>
  <c r="F5"/>
  <c r="C19"/>
  <c r="C18"/>
  <c r="C15"/>
  <c r="C14"/>
  <c r="AX124" i="2"/>
  <c r="BK124"/>
  <c r="BJ124"/>
  <c r="BI124"/>
  <c r="BH124"/>
  <c r="BG124"/>
  <c r="BF124"/>
  <c r="BE124"/>
  <c r="BD124"/>
  <c r="BC124"/>
  <c r="BB124"/>
  <c r="BA124"/>
  <c r="AL124"/>
  <c r="AI124"/>
  <c r="AH124"/>
  <c r="AG124"/>
  <c r="AF124"/>
  <c r="AE124"/>
  <c r="AD124"/>
  <c r="Y124"/>
  <c r="D3" i="7"/>
  <c r="CI155" i="2"/>
  <c r="CH155"/>
  <c r="D8" i="9"/>
  <c r="D2"/>
  <c r="D33"/>
  <c r="F30"/>
  <c r="D28"/>
  <c r="D18"/>
  <c r="D16"/>
  <c r="D17"/>
  <c r="E15"/>
  <c r="F12"/>
  <c r="D26"/>
  <c r="H6"/>
  <c r="G31"/>
  <c r="G5"/>
  <c r="F9"/>
  <c r="F24"/>
  <c r="F7"/>
  <c r="D4" i="7"/>
  <c r="C3"/>
  <c r="F11" l="1"/>
  <c r="G11"/>
  <c r="H11"/>
  <c r="D11"/>
  <c r="AM30" i="2"/>
  <c r="A21" i="7" l="1"/>
  <c r="D60" i="2"/>
  <c r="E60" s="1"/>
  <c r="D59"/>
  <c r="F59" l="1"/>
  <c r="H59"/>
  <c r="H60"/>
  <c r="G59"/>
  <c r="H61" l="1"/>
  <c r="Z50" l="1"/>
  <c r="Z25"/>
  <c r="Z133"/>
  <c r="E59" s="1"/>
  <c r="AF89"/>
  <c r="AF127"/>
  <c r="AF112"/>
  <c r="AF75"/>
  <c r="AF71"/>
  <c r="AF61"/>
  <c r="AF56"/>
  <c r="AF50"/>
  <c r="AF22"/>
  <c r="AF16"/>
  <c r="AF14"/>
  <c r="AF29"/>
  <c r="AF18"/>
  <c r="AF11"/>
  <c r="AF10"/>
  <c r="AF9"/>
  <c r="AF6"/>
  <c r="AF144"/>
  <c r="AF133"/>
  <c r="AF101"/>
  <c r="AF25"/>
  <c r="AF24"/>
  <c r="AF151"/>
  <c r="AF43"/>
  <c r="AF19"/>
  <c r="AF3"/>
  <c r="AF153"/>
  <c r="AF150"/>
  <c r="AF149"/>
  <c r="AF142"/>
  <c r="AF140"/>
  <c r="AF139"/>
  <c r="AF138"/>
  <c r="AF137"/>
  <c r="AF136"/>
  <c r="AF135"/>
  <c r="AF134"/>
  <c r="AF132"/>
  <c r="AF131"/>
  <c r="AF130"/>
  <c r="AF129"/>
  <c r="AF126"/>
  <c r="AF125"/>
  <c r="AF123"/>
  <c r="AF122"/>
  <c r="AF121"/>
  <c r="AF118"/>
  <c r="AF117"/>
  <c r="AF116"/>
  <c r="AF115"/>
  <c r="AF114"/>
  <c r="AF111"/>
  <c r="AF109"/>
  <c r="AF108"/>
  <c r="AF107"/>
  <c r="AF106"/>
  <c r="AF105"/>
  <c r="AF104"/>
  <c r="AF103"/>
  <c r="AF102"/>
  <c r="AF99"/>
  <c r="AF98"/>
  <c r="AF97"/>
  <c r="AF96"/>
  <c r="AF95"/>
  <c r="AF88"/>
  <c r="AF87"/>
  <c r="AF86"/>
  <c r="AF85"/>
  <c r="AF84"/>
  <c r="AF82"/>
  <c r="AF81"/>
  <c r="AF80"/>
  <c r="AF74"/>
  <c r="AF73"/>
  <c r="AF72"/>
  <c r="AF70"/>
  <c r="AF69"/>
  <c r="AF63"/>
  <c r="AF62"/>
  <c r="AF60"/>
  <c r="AF59"/>
  <c r="AF58"/>
  <c r="AF57"/>
  <c r="AF55"/>
  <c r="AF49"/>
  <c r="AF48"/>
  <c r="AF47"/>
  <c r="AF46"/>
  <c r="AF45"/>
  <c r="AF44"/>
  <c r="AF42"/>
  <c r="AF41"/>
  <c r="AF40"/>
  <c r="AF39"/>
  <c r="AF38"/>
  <c r="AF37"/>
  <c r="AF36"/>
  <c r="AF35"/>
  <c r="AF34"/>
  <c r="AF28"/>
  <c r="AF27"/>
  <c r="AF23"/>
  <c r="AF17"/>
  <c r="AF15"/>
  <c r="AF7"/>
  <c r="AF2"/>
  <c r="AF30"/>
  <c r="AE89"/>
  <c r="AE69"/>
  <c r="AE18"/>
  <c r="AE15"/>
  <c r="AE75"/>
  <c r="AE71"/>
  <c r="AE61"/>
  <c r="AE56"/>
  <c r="AE50"/>
  <c r="AE14"/>
  <c r="AE11"/>
  <c r="AE10"/>
  <c r="AE9"/>
  <c r="AE99"/>
  <c r="AE98"/>
  <c r="AE43"/>
  <c r="AE29"/>
  <c r="AE6"/>
  <c r="AE144"/>
  <c r="AE133"/>
  <c r="AE101"/>
  <c r="AE25"/>
  <c r="AE24"/>
  <c r="AE151"/>
  <c r="AE127"/>
  <c r="AE112"/>
  <c r="AE22"/>
  <c r="AE19"/>
  <c r="AE3"/>
  <c r="AE153"/>
  <c r="AE150"/>
  <c r="AE149"/>
  <c r="AE142"/>
  <c r="AE140"/>
  <c r="AE139"/>
  <c r="AE138"/>
  <c r="AE137"/>
  <c r="AE136"/>
  <c r="AE135"/>
  <c r="AE134"/>
  <c r="AE132"/>
  <c r="AE131"/>
  <c r="AE130"/>
  <c r="AE129"/>
  <c r="AE126"/>
  <c r="AE125"/>
  <c r="AE123"/>
  <c r="AE122"/>
  <c r="AE121"/>
  <c r="AE118"/>
  <c r="AE117"/>
  <c r="AE116"/>
  <c r="AE115"/>
  <c r="AE114"/>
  <c r="AE111"/>
  <c r="AE109"/>
  <c r="AE108"/>
  <c r="AE107"/>
  <c r="AE106"/>
  <c r="AE105"/>
  <c r="AE104"/>
  <c r="AE103"/>
  <c r="AE102"/>
  <c r="AE97"/>
  <c r="AE96"/>
  <c r="AE95"/>
  <c r="AE88"/>
  <c r="AE87"/>
  <c r="AE86"/>
  <c r="AE85"/>
  <c r="AE84"/>
  <c r="AE82"/>
  <c r="AE81"/>
  <c r="AE80"/>
  <c r="AE74"/>
  <c r="AE73"/>
  <c r="AE72"/>
  <c r="AE70"/>
  <c r="AE63"/>
  <c r="AE62"/>
  <c r="AE60"/>
  <c r="AE59"/>
  <c r="AE58"/>
  <c r="AE57"/>
  <c r="AE55"/>
  <c r="AE49"/>
  <c r="AE48"/>
  <c r="AE47"/>
  <c r="AE46"/>
  <c r="AE45"/>
  <c r="AE44"/>
  <c r="AE42"/>
  <c r="AE41"/>
  <c r="AE40"/>
  <c r="AE39"/>
  <c r="AE38"/>
  <c r="AE37"/>
  <c r="AE36"/>
  <c r="AE35"/>
  <c r="AE34"/>
  <c r="AE28"/>
  <c r="AE27"/>
  <c r="AE23"/>
  <c r="AE17"/>
  <c r="AE16"/>
  <c r="AE7"/>
  <c r="AE2"/>
  <c r="AE30"/>
  <c r="G60" l="1"/>
  <c r="G61" s="1"/>
  <c r="F60"/>
  <c r="F61" l="1"/>
  <c r="I60"/>
  <c r="BM14" i="1" l="1"/>
  <c r="AG150" i="2" l="1"/>
  <c r="AH85"/>
  <c r="AH84"/>
  <c r="AH82"/>
  <c r="AH81"/>
  <c r="AH80"/>
  <c r="AH75"/>
  <c r="AH74"/>
  <c r="AH73"/>
  <c r="AH72"/>
  <c r="AH71"/>
  <c r="AH70"/>
  <c r="AH69"/>
  <c r="AH63"/>
  <c r="AH62"/>
  <c r="AH61"/>
  <c r="AH60"/>
  <c r="AH59"/>
  <c r="AH58"/>
  <c r="AH57"/>
  <c r="AH56"/>
  <c r="AH55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0"/>
  <c r="AH29"/>
  <c r="AH28"/>
  <c r="AH27"/>
  <c r="AH25"/>
  <c r="AH24"/>
  <c r="AH23"/>
  <c r="AH153"/>
  <c r="AH151"/>
  <c r="AH150"/>
  <c r="AH149"/>
  <c r="AH144"/>
  <c r="AH142"/>
  <c r="AH140"/>
  <c r="AH139"/>
  <c r="AH137"/>
  <c r="AH136"/>
  <c r="AH135"/>
  <c r="AH132"/>
  <c r="AH131"/>
  <c r="AH130"/>
  <c r="AH129"/>
  <c r="AH127"/>
  <c r="AH126"/>
  <c r="AH125"/>
  <c r="AH123"/>
  <c r="AH122"/>
  <c r="AH121"/>
  <c r="AH118"/>
  <c r="AH117"/>
  <c r="AH116"/>
  <c r="AH115"/>
  <c r="AH114"/>
  <c r="AH112"/>
  <c r="AH111"/>
  <c r="AH109"/>
  <c r="AH108"/>
  <c r="AH107"/>
  <c r="AH106"/>
  <c r="AH105"/>
  <c r="AH104"/>
  <c r="AH103"/>
  <c r="AH102"/>
  <c r="AH101"/>
  <c r="AH99"/>
  <c r="AH98"/>
  <c r="AH97"/>
  <c r="AH96"/>
  <c r="AH95"/>
  <c r="AH89"/>
  <c r="AH88"/>
  <c r="AH87"/>
  <c r="AH86"/>
  <c r="AH22"/>
  <c r="AH19"/>
  <c r="AH18"/>
  <c r="AH17"/>
  <c r="AH16"/>
  <c r="AH15"/>
  <c r="AH14"/>
  <c r="AH11"/>
  <c r="AH10"/>
  <c r="AH9"/>
  <c r="AH7"/>
  <c r="AH3"/>
  <c r="AH2"/>
  <c r="AH134"/>
  <c r="AA108"/>
  <c r="E61"/>
  <c r="C142" i="3"/>
  <c r="C123"/>
  <c r="C36" l="1"/>
  <c r="C37"/>
  <c r="C39"/>
  <c r="C17"/>
  <c r="C10"/>
  <c r="C11"/>
  <c r="C74"/>
  <c r="C69"/>
  <c r="C75"/>
  <c r="C29"/>
  <c r="BI10" i="2"/>
  <c r="BH27"/>
  <c r="BC45"/>
  <c r="BB16"/>
  <c r="BF140"/>
  <c r="BK41"/>
  <c r="BE112"/>
  <c r="BI102"/>
  <c r="BD81"/>
  <c r="BJ55"/>
  <c r="AG98"/>
  <c r="BK19"/>
  <c r="BK129"/>
  <c r="BD36"/>
  <c r="BE63"/>
  <c r="BF99"/>
  <c r="BG129"/>
  <c r="BJ11"/>
  <c r="AG47"/>
  <c r="BI50"/>
  <c r="BI149"/>
  <c r="BK101"/>
  <c r="BB106"/>
  <c r="BC137"/>
  <c r="BE23"/>
  <c r="BF48"/>
  <c r="BG85"/>
  <c r="BH115"/>
  <c r="BJ149"/>
  <c r="AG7"/>
  <c r="BI75"/>
  <c r="BB153"/>
  <c r="BI34"/>
  <c r="BI122"/>
  <c r="BK69"/>
  <c r="BB58"/>
  <c r="BC96"/>
  <c r="BD125"/>
  <c r="BF7"/>
  <c r="BG39"/>
  <c r="BH70"/>
  <c r="BJ103"/>
  <c r="AG136"/>
  <c r="BI28"/>
  <c r="BI71"/>
  <c r="BI97"/>
  <c r="BI138"/>
  <c r="BK37"/>
  <c r="BK95"/>
  <c r="BB2"/>
  <c r="BB97"/>
  <c r="BC37"/>
  <c r="BC126"/>
  <c r="BD69"/>
  <c r="BE11"/>
  <c r="BE103"/>
  <c r="BF40"/>
  <c r="BF130"/>
  <c r="BG72"/>
  <c r="BH15"/>
  <c r="BH105"/>
  <c r="BJ43"/>
  <c r="BJ135"/>
  <c r="AG39"/>
  <c r="AG127"/>
  <c r="BI2"/>
  <c r="BI22"/>
  <c r="BI42"/>
  <c r="BI62"/>
  <c r="BI88"/>
  <c r="BI111"/>
  <c r="BI132"/>
  <c r="BK9"/>
  <c r="BK49"/>
  <c r="BK85"/>
  <c r="BK114"/>
  <c r="BK142"/>
  <c r="BB38"/>
  <c r="BB84"/>
  <c r="BB127"/>
  <c r="BC27"/>
  <c r="BC70"/>
  <c r="BC115"/>
  <c r="BD14"/>
  <c r="BD56"/>
  <c r="BD104"/>
  <c r="BD151"/>
  <c r="BE43"/>
  <c r="BE89"/>
  <c r="BE135"/>
  <c r="BF30"/>
  <c r="BF73"/>
  <c r="BF118"/>
  <c r="BG17"/>
  <c r="BG59"/>
  <c r="BG107"/>
  <c r="BH2"/>
  <c r="BH45"/>
  <c r="BH96"/>
  <c r="BH137"/>
  <c r="BJ35"/>
  <c r="BJ80"/>
  <c r="BJ123"/>
  <c r="AG29"/>
  <c r="AG72"/>
  <c r="AG116"/>
  <c r="BI9"/>
  <c r="BI46"/>
  <c r="BI116"/>
  <c r="BK15"/>
  <c r="BK59"/>
  <c r="BK121"/>
  <c r="BB46"/>
  <c r="BB138"/>
  <c r="BC82"/>
  <c r="BD25"/>
  <c r="BD114"/>
  <c r="BE55"/>
  <c r="BE150"/>
  <c r="BF86"/>
  <c r="BG29"/>
  <c r="BG117"/>
  <c r="BH57"/>
  <c r="BJ89"/>
  <c r="AG85"/>
  <c r="BI16"/>
  <c r="BI38"/>
  <c r="BI58"/>
  <c r="BI84"/>
  <c r="BI106"/>
  <c r="BI127"/>
  <c r="BI153"/>
  <c r="BK27"/>
  <c r="BK45"/>
  <c r="BK74"/>
  <c r="BK107"/>
  <c r="BK136"/>
  <c r="BB28"/>
  <c r="BB71"/>
  <c r="BB116"/>
  <c r="BC15"/>
  <c r="BC57"/>
  <c r="BC105"/>
  <c r="BD44"/>
  <c r="BD95"/>
  <c r="BD136"/>
  <c r="BE35"/>
  <c r="BE80"/>
  <c r="BE123"/>
  <c r="BF18"/>
  <c r="BF144" s="1"/>
  <c r="BF113" s="1"/>
  <c r="BF60"/>
  <c r="BF108"/>
  <c r="BG6"/>
  <c r="BG47"/>
  <c r="BG98"/>
  <c r="BG139"/>
  <c r="BH37"/>
  <c r="BH82"/>
  <c r="BH126"/>
  <c r="BJ23"/>
  <c r="BJ63"/>
  <c r="BJ112"/>
  <c r="AG18"/>
  <c r="AG59"/>
  <c r="AG107"/>
  <c r="AH133"/>
  <c r="AG153"/>
  <c r="AG144"/>
  <c r="AG138"/>
  <c r="AG134"/>
  <c r="AG130"/>
  <c r="AG125"/>
  <c r="AG118"/>
  <c r="AG114"/>
  <c r="AG109"/>
  <c r="AG105"/>
  <c r="AG101"/>
  <c r="AG96"/>
  <c r="AG87"/>
  <c r="AG82"/>
  <c r="AG74"/>
  <c r="AG70"/>
  <c r="AG61"/>
  <c r="AG57"/>
  <c r="AG49"/>
  <c r="AG45"/>
  <c r="AG41"/>
  <c r="AG37"/>
  <c r="AG27"/>
  <c r="AG22"/>
  <c r="AG16"/>
  <c r="AG10"/>
  <c r="AG4"/>
  <c r="BJ151"/>
  <c r="BJ142"/>
  <c r="BJ137"/>
  <c r="BJ131"/>
  <c r="BJ126"/>
  <c r="BJ121"/>
  <c r="BJ115"/>
  <c r="BJ109"/>
  <c r="BJ105"/>
  <c r="BJ101"/>
  <c r="BJ96"/>
  <c r="BJ87"/>
  <c r="BJ82"/>
  <c r="BJ74"/>
  <c r="BJ70"/>
  <c r="BJ61"/>
  <c r="BJ57"/>
  <c r="BJ49"/>
  <c r="BJ45"/>
  <c r="BJ41"/>
  <c r="BJ37"/>
  <c r="BJ27"/>
  <c r="BJ19"/>
  <c r="BJ15"/>
  <c r="BJ9"/>
  <c r="BJ2"/>
  <c r="BH150"/>
  <c r="BH139"/>
  <c r="BH135"/>
  <c r="BH129"/>
  <c r="BH123"/>
  <c r="BH117"/>
  <c r="BH112"/>
  <c r="BH107"/>
  <c r="BH103"/>
  <c r="BH98"/>
  <c r="BH89"/>
  <c r="BH85"/>
  <c r="BH80"/>
  <c r="BH72"/>
  <c r="BH63"/>
  <c r="BH59"/>
  <c r="BH55"/>
  <c r="BH47"/>
  <c r="BH43"/>
  <c r="BH39"/>
  <c r="BH35"/>
  <c r="BH29"/>
  <c r="BH23"/>
  <c r="BH17"/>
  <c r="BH11"/>
  <c r="BH6"/>
  <c r="BG142"/>
  <c r="BG137"/>
  <c r="BG131"/>
  <c r="BG126"/>
  <c r="BG121"/>
  <c r="BG115"/>
  <c r="BG109"/>
  <c r="BG105"/>
  <c r="BG101"/>
  <c r="BG96"/>
  <c r="BG87"/>
  <c r="BG82"/>
  <c r="BG74"/>
  <c r="BG70"/>
  <c r="BG61"/>
  <c r="BG57"/>
  <c r="BG49"/>
  <c r="BG45"/>
  <c r="BG41"/>
  <c r="BG37"/>
  <c r="BG27"/>
  <c r="BG19"/>
  <c r="BG15"/>
  <c r="BG9"/>
  <c r="BF153"/>
  <c r="BF149"/>
  <c r="BF138"/>
  <c r="BF132"/>
  <c r="BF127"/>
  <c r="BF122"/>
  <c r="BF116"/>
  <c r="BF111"/>
  <c r="BF106"/>
  <c r="BF102"/>
  <c r="BF97"/>
  <c r="BF88"/>
  <c r="BF84"/>
  <c r="BF75"/>
  <c r="BF71"/>
  <c r="BF62"/>
  <c r="BF58"/>
  <c r="BF50"/>
  <c r="BF46"/>
  <c r="BF42"/>
  <c r="BF38"/>
  <c r="BF34"/>
  <c r="BF28"/>
  <c r="BF22"/>
  <c r="BF16"/>
  <c r="BF10"/>
  <c r="BF4"/>
  <c r="BE142"/>
  <c r="BE137"/>
  <c r="BE131"/>
  <c r="BE126"/>
  <c r="BE121"/>
  <c r="BE115"/>
  <c r="BE109"/>
  <c r="BE105"/>
  <c r="BE101"/>
  <c r="BE96"/>
  <c r="BE87"/>
  <c r="BE82"/>
  <c r="BE74"/>
  <c r="BE70"/>
  <c r="BE61"/>
  <c r="BE57"/>
  <c r="BE49"/>
  <c r="BE45"/>
  <c r="BE41"/>
  <c r="BE37"/>
  <c r="BE27"/>
  <c r="BE19"/>
  <c r="BE15"/>
  <c r="BE9"/>
  <c r="BD153"/>
  <c r="BD149"/>
  <c r="BD138"/>
  <c r="BD132"/>
  <c r="BD127"/>
  <c r="BD122"/>
  <c r="BD116"/>
  <c r="BD111"/>
  <c r="BD106"/>
  <c r="BD102"/>
  <c r="BD97"/>
  <c r="BD88"/>
  <c r="BD84"/>
  <c r="BD75"/>
  <c r="BD71"/>
  <c r="BD62"/>
  <c r="BD58"/>
  <c r="BD50"/>
  <c r="BD46"/>
  <c r="BD42"/>
  <c r="BD38"/>
  <c r="BD34"/>
  <c r="BD28"/>
  <c r="BD22"/>
  <c r="BD16"/>
  <c r="BD10"/>
  <c r="BD2"/>
  <c r="BC150"/>
  <c r="BC139"/>
  <c r="BC135"/>
  <c r="BC129"/>
  <c r="BC123"/>
  <c r="BC117"/>
  <c r="BC112"/>
  <c r="BC107"/>
  <c r="BC103"/>
  <c r="BC98"/>
  <c r="BC89"/>
  <c r="BC85"/>
  <c r="BC80"/>
  <c r="BC72"/>
  <c r="BC63"/>
  <c r="BC59"/>
  <c r="BC55"/>
  <c r="BC47"/>
  <c r="BC43"/>
  <c r="BC39"/>
  <c r="BC35"/>
  <c r="BC29"/>
  <c r="BC23"/>
  <c r="BC17"/>
  <c r="BC11"/>
  <c r="BC6"/>
  <c r="BB151"/>
  <c r="BB140"/>
  <c r="BB136"/>
  <c r="BB130"/>
  <c r="BB125"/>
  <c r="BB118"/>
  <c r="BB114"/>
  <c r="BB108"/>
  <c r="BB104"/>
  <c r="BB99"/>
  <c r="BB95"/>
  <c r="BB86"/>
  <c r="BB81"/>
  <c r="BB73"/>
  <c r="BB69"/>
  <c r="BB60"/>
  <c r="BB56"/>
  <c r="BB48"/>
  <c r="BB44"/>
  <c r="BB40"/>
  <c r="BB36"/>
  <c r="BB30"/>
  <c r="BB25"/>
  <c r="BB18"/>
  <c r="BB3" s="1"/>
  <c r="BB14"/>
  <c r="BB7"/>
  <c r="AG149"/>
  <c r="AG139"/>
  <c r="AG135"/>
  <c r="AG131"/>
  <c r="AG126"/>
  <c r="AG121"/>
  <c r="AG115"/>
  <c r="AG111"/>
  <c r="AG106"/>
  <c r="AG102"/>
  <c r="AG97"/>
  <c r="AG88"/>
  <c r="AG84"/>
  <c r="AG75"/>
  <c r="AG71"/>
  <c r="AG62"/>
  <c r="AG58"/>
  <c r="AG50"/>
  <c r="AG46"/>
  <c r="AG42"/>
  <c r="AG38"/>
  <c r="AG34"/>
  <c r="AG28"/>
  <c r="AG23"/>
  <c r="AG17"/>
  <c r="AG11"/>
  <c r="AG6"/>
  <c r="BJ144"/>
  <c r="BJ113" s="1"/>
  <c r="BJ138"/>
  <c r="BJ132"/>
  <c r="BJ127"/>
  <c r="BJ122"/>
  <c r="BJ116"/>
  <c r="BJ111"/>
  <c r="BJ106"/>
  <c r="BJ102"/>
  <c r="BJ97"/>
  <c r="BJ88"/>
  <c r="BJ84"/>
  <c r="BJ75"/>
  <c r="BJ71"/>
  <c r="BJ62"/>
  <c r="BJ58"/>
  <c r="BJ50"/>
  <c r="BJ46"/>
  <c r="BJ42"/>
  <c r="BJ38"/>
  <c r="BJ34"/>
  <c r="BJ28"/>
  <c r="BJ22"/>
  <c r="BJ16"/>
  <c r="BJ10"/>
  <c r="BJ3"/>
  <c r="BH151"/>
  <c r="BH140"/>
  <c r="BH136"/>
  <c r="BH130"/>
  <c r="BH125"/>
  <c r="BH118"/>
  <c r="BH114"/>
  <c r="BH108"/>
  <c r="BH104"/>
  <c r="BH99"/>
  <c r="BH95"/>
  <c r="BH86"/>
  <c r="BH81"/>
  <c r="BH73"/>
  <c r="BH69"/>
  <c r="BH60"/>
  <c r="BH56"/>
  <c r="BH48"/>
  <c r="BH44"/>
  <c r="BH40"/>
  <c r="BH36"/>
  <c r="BH30"/>
  <c r="BH25"/>
  <c r="BH18"/>
  <c r="BH144" s="1"/>
  <c r="BH113" s="1"/>
  <c r="BH14"/>
  <c r="BH7"/>
  <c r="BG153"/>
  <c r="BG149"/>
  <c r="BG138"/>
  <c r="BG132"/>
  <c r="BG127"/>
  <c r="BG122"/>
  <c r="BG116"/>
  <c r="BG111"/>
  <c r="BG106"/>
  <c r="BG102"/>
  <c r="BG97"/>
  <c r="BG88"/>
  <c r="BG84"/>
  <c r="BG75"/>
  <c r="BG71"/>
  <c r="BG62"/>
  <c r="BG58"/>
  <c r="BG50"/>
  <c r="BG46"/>
  <c r="BG42"/>
  <c r="BG38"/>
  <c r="BG34"/>
  <c r="BG28"/>
  <c r="BG22"/>
  <c r="BG16"/>
  <c r="BG10"/>
  <c r="BG2"/>
  <c r="BF150"/>
  <c r="BF139"/>
  <c r="BF135"/>
  <c r="BF129"/>
  <c r="BF123"/>
  <c r="BF117"/>
  <c r="BF112"/>
  <c r="BF107"/>
  <c r="BF103"/>
  <c r="BF98"/>
  <c r="BF89"/>
  <c r="BF85"/>
  <c r="BF80"/>
  <c r="BF72"/>
  <c r="BF63"/>
  <c r="BF59"/>
  <c r="BF55"/>
  <c r="BF47"/>
  <c r="BF43"/>
  <c r="BF39"/>
  <c r="BF35"/>
  <c r="BF29"/>
  <c r="BF23"/>
  <c r="BF17"/>
  <c r="BF11"/>
  <c r="BF6"/>
  <c r="BE153"/>
  <c r="BE149"/>
  <c r="BE138"/>
  <c r="BE132"/>
  <c r="BE127"/>
  <c r="BE122"/>
  <c r="BE116"/>
  <c r="BE111"/>
  <c r="BE106"/>
  <c r="BE102"/>
  <c r="BE97"/>
  <c r="BE88"/>
  <c r="BE84"/>
  <c r="BE75"/>
  <c r="BE71"/>
  <c r="BE62"/>
  <c r="BE58"/>
  <c r="BE50"/>
  <c r="BE46"/>
  <c r="BE42"/>
  <c r="BE38"/>
  <c r="BE34"/>
  <c r="BE28"/>
  <c r="BE22"/>
  <c r="BE16"/>
  <c r="BE10"/>
  <c r="BE2"/>
  <c r="BD150"/>
  <c r="BD139"/>
  <c r="BD135"/>
  <c r="BD129"/>
  <c r="BD123"/>
  <c r="BD117"/>
  <c r="BD112"/>
  <c r="BD107"/>
  <c r="BD103"/>
  <c r="BD98"/>
  <c r="BD89"/>
  <c r="BD85"/>
  <c r="BD80"/>
  <c r="BD72"/>
  <c r="BD63"/>
  <c r="BD59"/>
  <c r="BD55"/>
  <c r="BD47"/>
  <c r="BD43"/>
  <c r="BD39"/>
  <c r="BD35"/>
  <c r="BD29"/>
  <c r="BD23"/>
  <c r="BD17"/>
  <c r="BD11"/>
  <c r="BD6"/>
  <c r="BC151"/>
  <c r="BC140"/>
  <c r="BC136"/>
  <c r="BC130"/>
  <c r="BC125"/>
  <c r="BC118"/>
  <c r="BC114"/>
  <c r="BC108"/>
  <c r="BC104"/>
  <c r="BC99"/>
  <c r="BC95"/>
  <c r="BC86"/>
  <c r="BC81"/>
  <c r="BC73"/>
  <c r="BC69"/>
  <c r="BC60"/>
  <c r="BC56"/>
  <c r="BC48"/>
  <c r="BC44"/>
  <c r="BC40"/>
  <c r="BC36"/>
  <c r="BC30"/>
  <c r="BC25"/>
  <c r="BC18"/>
  <c r="BC3" s="1"/>
  <c r="BC14"/>
  <c r="BC7"/>
  <c r="BB142"/>
  <c r="BB137"/>
  <c r="BB131"/>
  <c r="BB126"/>
  <c r="BB121"/>
  <c r="BB115"/>
  <c r="BB109"/>
  <c r="BB105"/>
  <c r="BB101"/>
  <c r="BB96"/>
  <c r="BB87"/>
  <c r="BB82"/>
  <c r="BB74"/>
  <c r="BB70"/>
  <c r="BB61"/>
  <c r="BB57"/>
  <c r="BB49"/>
  <c r="BB45"/>
  <c r="BB41"/>
  <c r="BB37"/>
  <c r="BB27"/>
  <c r="BB19"/>
  <c r="BB15"/>
  <c r="BB9"/>
  <c r="BK153"/>
  <c r="BK149"/>
  <c r="BK138"/>
  <c r="BK132"/>
  <c r="BK127"/>
  <c r="BK122"/>
  <c r="BK116"/>
  <c r="BK111"/>
  <c r="BK106"/>
  <c r="BK102"/>
  <c r="BK97"/>
  <c r="BK88"/>
  <c r="BK84"/>
  <c r="BK75"/>
  <c r="BK71"/>
  <c r="BK62"/>
  <c r="BK58"/>
  <c r="BK50"/>
  <c r="BI15"/>
  <c r="BI27"/>
  <c r="BI37"/>
  <c r="BI45"/>
  <c r="BI57"/>
  <c r="BI70"/>
  <c r="BI82"/>
  <c r="BI96"/>
  <c r="BI105"/>
  <c r="BI115"/>
  <c r="BI126"/>
  <c r="BI137"/>
  <c r="BK14"/>
  <c r="BK25"/>
  <c r="BK36"/>
  <c r="BK44"/>
  <c r="BK57"/>
  <c r="BK73"/>
  <c r="BK89"/>
  <c r="BK99"/>
  <c r="BK112"/>
  <c r="BK126"/>
  <c r="BK140"/>
  <c r="BB11"/>
  <c r="BB35"/>
  <c r="BB55"/>
  <c r="BB80"/>
  <c r="BB103"/>
  <c r="BB135"/>
  <c r="BC10"/>
  <c r="BC34"/>
  <c r="BC50"/>
  <c r="BC62"/>
  <c r="BC88"/>
  <c r="BC111"/>
  <c r="BC132"/>
  <c r="BD9"/>
  <c r="BD49"/>
  <c r="BD74"/>
  <c r="BD101"/>
  <c r="BD121"/>
  <c r="BD142"/>
  <c r="BE18"/>
  <c r="BE3" s="1"/>
  <c r="BE40"/>
  <c r="BE60"/>
  <c r="BE86"/>
  <c r="BE108"/>
  <c r="BE130"/>
  <c r="BF3"/>
  <c r="BF27"/>
  <c r="BF45"/>
  <c r="BF70"/>
  <c r="BF96"/>
  <c r="BF115"/>
  <c r="BF126"/>
  <c r="BG25"/>
  <c r="BG44"/>
  <c r="BG69"/>
  <c r="BG95"/>
  <c r="BG114"/>
  <c r="BG136"/>
  <c r="BH10"/>
  <c r="BH34"/>
  <c r="BH50"/>
  <c r="BH75"/>
  <c r="BH102"/>
  <c r="BH122"/>
  <c r="BH149"/>
  <c r="BJ18"/>
  <c r="BJ24" s="1"/>
  <c r="BJ40"/>
  <c r="BJ60"/>
  <c r="BJ73"/>
  <c r="BJ86"/>
  <c r="BJ99"/>
  <c r="BJ108"/>
  <c r="BJ118"/>
  <c r="BJ130"/>
  <c r="BJ140"/>
  <c r="AG3"/>
  <c r="AG15"/>
  <c r="AG25"/>
  <c r="AG36"/>
  <c r="AG44"/>
  <c r="AG56"/>
  <c r="AG69"/>
  <c r="AG81"/>
  <c r="AG95"/>
  <c r="AG104"/>
  <c r="AG123"/>
  <c r="AG133"/>
  <c r="AG142"/>
  <c r="BI7"/>
  <c r="BI14"/>
  <c r="BI18"/>
  <c r="BI144" s="1"/>
  <c r="BI113" s="1"/>
  <c r="BI25"/>
  <c r="BI30"/>
  <c r="BI36"/>
  <c r="BI40"/>
  <c r="BI44"/>
  <c r="BI48"/>
  <c r="BI56"/>
  <c r="BI60"/>
  <c r="BI69"/>
  <c r="BI73"/>
  <c r="BI81"/>
  <c r="BI86"/>
  <c r="BI95"/>
  <c r="BI99"/>
  <c r="BI104"/>
  <c r="BI108"/>
  <c r="BI114"/>
  <c r="BI118"/>
  <c r="BI125"/>
  <c r="BI130"/>
  <c r="BI136"/>
  <c r="BI140"/>
  <c r="BI151"/>
  <c r="BK6"/>
  <c r="BK11"/>
  <c r="BK17"/>
  <c r="BK23"/>
  <c r="BK29"/>
  <c r="BK35"/>
  <c r="BK39"/>
  <c r="BK43"/>
  <c r="BK47"/>
  <c r="BK56"/>
  <c r="BK61"/>
  <c r="BK72"/>
  <c r="BK81"/>
  <c r="BK87"/>
  <c r="BK98"/>
  <c r="BK104"/>
  <c r="BK109"/>
  <c r="BK117"/>
  <c r="BK125"/>
  <c r="BK131"/>
  <c r="BK139"/>
  <c r="BK151"/>
  <c r="BB10"/>
  <c r="BB22"/>
  <c r="BB34"/>
  <c r="BB42"/>
  <c r="BB50"/>
  <c r="BB62"/>
  <c r="BB75"/>
  <c r="BB88"/>
  <c r="BB102"/>
  <c r="BB111"/>
  <c r="BB122"/>
  <c r="BB132"/>
  <c r="BB149"/>
  <c r="BC9"/>
  <c r="BC19"/>
  <c r="BC41"/>
  <c r="BC49"/>
  <c r="BC61"/>
  <c r="BC74"/>
  <c r="BC87"/>
  <c r="BC101"/>
  <c r="BC109"/>
  <c r="BC121"/>
  <c r="BC131"/>
  <c r="BC142"/>
  <c r="BD7"/>
  <c r="BD18"/>
  <c r="BD3" s="1"/>
  <c r="BD30"/>
  <c r="BD40"/>
  <c r="BD48"/>
  <c r="BD60"/>
  <c r="BD73"/>
  <c r="BD86"/>
  <c r="BD99"/>
  <c r="BD108"/>
  <c r="BD118"/>
  <c r="BD130"/>
  <c r="BD140"/>
  <c r="BE6"/>
  <c r="BE17"/>
  <c r="BE29"/>
  <c r="BE39"/>
  <c r="BE47"/>
  <c r="BE59"/>
  <c r="BE72"/>
  <c r="BE85"/>
  <c r="BE98"/>
  <c r="BE107"/>
  <c r="BE117"/>
  <c r="BE129"/>
  <c r="BE139"/>
  <c r="BF2"/>
  <c r="BF14"/>
  <c r="BF25"/>
  <c r="BF36"/>
  <c r="BF44"/>
  <c r="BF56"/>
  <c r="BF69"/>
  <c r="BF81"/>
  <c r="BF95"/>
  <c r="BF104"/>
  <c r="BF114"/>
  <c r="BF125"/>
  <c r="BF136"/>
  <c r="BF151"/>
  <c r="BG11"/>
  <c r="BG23"/>
  <c r="BG35"/>
  <c r="BG43"/>
  <c r="BG55"/>
  <c r="BG63"/>
  <c r="BG80"/>
  <c r="BG89"/>
  <c r="BG103"/>
  <c r="BG112"/>
  <c r="BG123"/>
  <c r="BG135"/>
  <c r="BG150"/>
  <c r="BH9"/>
  <c r="BH19"/>
  <c r="BH41"/>
  <c r="BH49"/>
  <c r="BH61"/>
  <c r="BH74"/>
  <c r="BH87"/>
  <c r="BH101"/>
  <c r="BH109"/>
  <c r="BH121"/>
  <c r="BH131"/>
  <c r="BH142"/>
  <c r="BJ6"/>
  <c r="BJ17"/>
  <c r="BJ29"/>
  <c r="BJ39"/>
  <c r="BJ47"/>
  <c r="BJ59"/>
  <c r="BJ72"/>
  <c r="BJ85"/>
  <c r="BJ98"/>
  <c r="BJ107"/>
  <c r="BJ117"/>
  <c r="BJ129"/>
  <c r="BJ139"/>
  <c r="BJ153"/>
  <c r="AG2"/>
  <c r="AG14"/>
  <c r="AG24"/>
  <c r="AG35"/>
  <c r="AG43"/>
  <c r="AG55"/>
  <c r="AG63"/>
  <c r="AG80"/>
  <c r="AG89"/>
  <c r="AG103"/>
  <c r="AG112"/>
  <c r="AG122"/>
  <c r="AG132"/>
  <c r="AG140"/>
  <c r="BI19"/>
  <c r="BI41"/>
  <c r="BI49"/>
  <c r="BI61"/>
  <c r="BI74"/>
  <c r="BI87"/>
  <c r="BI101"/>
  <c r="BI109"/>
  <c r="BI121"/>
  <c r="BI131"/>
  <c r="BI142"/>
  <c r="BK7"/>
  <c r="BK18"/>
  <c r="BK3" s="1"/>
  <c r="BK30"/>
  <c r="BK40"/>
  <c r="BK48"/>
  <c r="BK63"/>
  <c r="BK82"/>
  <c r="BK105"/>
  <c r="BK118"/>
  <c r="BK135"/>
  <c r="BB23"/>
  <c r="BB43"/>
  <c r="BB63"/>
  <c r="BB89"/>
  <c r="BB112"/>
  <c r="BB123"/>
  <c r="BB150"/>
  <c r="BC22"/>
  <c r="BC42"/>
  <c r="BC75"/>
  <c r="BC102"/>
  <c r="BC122"/>
  <c r="BC149"/>
  <c r="BD19"/>
  <c r="BD41"/>
  <c r="BD61"/>
  <c r="BD87"/>
  <c r="BD109"/>
  <c r="BD131"/>
  <c r="BE7"/>
  <c r="BE30"/>
  <c r="BE133" s="1"/>
  <c r="BE48"/>
  <c r="BE73"/>
  <c r="BE99"/>
  <c r="BE118"/>
  <c r="BE140"/>
  <c r="BF15"/>
  <c r="BF37"/>
  <c r="BF57"/>
  <c r="BF82"/>
  <c r="BF105"/>
  <c r="BF137"/>
  <c r="BG14"/>
  <c r="BG36"/>
  <c r="BG56"/>
  <c r="BG81"/>
  <c r="BG104"/>
  <c r="BG125"/>
  <c r="BG151"/>
  <c r="BH22"/>
  <c r="BH42"/>
  <c r="BH62"/>
  <c r="BH88"/>
  <c r="BH111"/>
  <c r="BH132"/>
  <c r="BJ7"/>
  <c r="BJ30"/>
  <c r="BJ48"/>
  <c r="BI6"/>
  <c r="BI133" s="1"/>
  <c r="BI11"/>
  <c r="BI17"/>
  <c r="BI23"/>
  <c r="BI29"/>
  <c r="BI35"/>
  <c r="BI39"/>
  <c r="BI43"/>
  <c r="BI47"/>
  <c r="BI55"/>
  <c r="BI59"/>
  <c r="BI63"/>
  <c r="BI72"/>
  <c r="BI80"/>
  <c r="BI85"/>
  <c r="BI89"/>
  <c r="BI98"/>
  <c r="BI103"/>
  <c r="BI107"/>
  <c r="BI112"/>
  <c r="BI117"/>
  <c r="BI123"/>
  <c r="BI129"/>
  <c r="BI135"/>
  <c r="BI139"/>
  <c r="BI150"/>
  <c r="BK2"/>
  <c r="BK10"/>
  <c r="BK16"/>
  <c r="BK22"/>
  <c r="BK28"/>
  <c r="BK34"/>
  <c r="BK38"/>
  <c r="BK42"/>
  <c r="BK46"/>
  <c r="BK55"/>
  <c r="BK60"/>
  <c r="BK70"/>
  <c r="BK80"/>
  <c r="BK86"/>
  <c r="BK96"/>
  <c r="BK103"/>
  <c r="BK108"/>
  <c r="BK115"/>
  <c r="BK123"/>
  <c r="BK130"/>
  <c r="BK137"/>
  <c r="BK150"/>
  <c r="BB6"/>
  <c r="BB17"/>
  <c r="BB29"/>
  <c r="BB39"/>
  <c r="BB47"/>
  <c r="BB59"/>
  <c r="BB72"/>
  <c r="BB85"/>
  <c r="BB98"/>
  <c r="BB107"/>
  <c r="BB117"/>
  <c r="BB129"/>
  <c r="BB139"/>
  <c r="BC2"/>
  <c r="BC16"/>
  <c r="BC28"/>
  <c r="BC38"/>
  <c r="BC46"/>
  <c r="BC58"/>
  <c r="BC71"/>
  <c r="BC84"/>
  <c r="BC97"/>
  <c r="BC106"/>
  <c r="BC116"/>
  <c r="BC127"/>
  <c r="BC138"/>
  <c r="BC153"/>
  <c r="BD15"/>
  <c r="BD27"/>
  <c r="BD37"/>
  <c r="BD45"/>
  <c r="BD57"/>
  <c r="BD70"/>
  <c r="BD82"/>
  <c r="BD96"/>
  <c r="BD105"/>
  <c r="BD115"/>
  <c r="BD126"/>
  <c r="BD137"/>
  <c r="BE14"/>
  <c r="BE25"/>
  <c r="BE36"/>
  <c r="BE44"/>
  <c r="BE56"/>
  <c r="BE69"/>
  <c r="BE81"/>
  <c r="BE95"/>
  <c r="BE104"/>
  <c r="BE114"/>
  <c r="BE125"/>
  <c r="BE136"/>
  <c r="BE151"/>
  <c r="BF9"/>
  <c r="BF19"/>
  <c r="BF41"/>
  <c r="BF49"/>
  <c r="BF61"/>
  <c r="BF74"/>
  <c r="BF87"/>
  <c r="BF101"/>
  <c r="BF109"/>
  <c r="BF121"/>
  <c r="BF131"/>
  <c r="BF142"/>
  <c r="BG7"/>
  <c r="BG18"/>
  <c r="BG144" s="1"/>
  <c r="BG113" s="1"/>
  <c r="BG30"/>
  <c r="BG40"/>
  <c r="BG48"/>
  <c r="BG60"/>
  <c r="BG73"/>
  <c r="BG86"/>
  <c r="BG99"/>
  <c r="BG108"/>
  <c r="BG118"/>
  <c r="BG130"/>
  <c r="BG140"/>
  <c r="BH4"/>
  <c r="BH16"/>
  <c r="BH28"/>
  <c r="BH38"/>
  <c r="BH46"/>
  <c r="BH58"/>
  <c r="BH71"/>
  <c r="BH84"/>
  <c r="BH97"/>
  <c r="BH106"/>
  <c r="BH116"/>
  <c r="BH127"/>
  <c r="BH138"/>
  <c r="BH153"/>
  <c r="BJ14"/>
  <c r="BJ25"/>
  <c r="BJ36"/>
  <c r="BJ44"/>
  <c r="BJ56"/>
  <c r="BJ69"/>
  <c r="BJ81"/>
  <c r="BJ95"/>
  <c r="BJ104"/>
  <c r="BJ114"/>
  <c r="BJ125"/>
  <c r="BJ136"/>
  <c r="BJ150"/>
  <c r="AG9"/>
  <c r="AG19"/>
  <c r="AG30"/>
  <c r="AG40"/>
  <c r="AG48"/>
  <c r="AG60"/>
  <c r="AG73"/>
  <c r="AG86"/>
  <c r="AG99"/>
  <c r="AG108"/>
  <c r="AG117"/>
  <c r="AG129"/>
  <c r="AG137"/>
  <c r="AG151"/>
  <c r="BB133"/>
  <c r="BK133"/>
  <c r="BG133"/>
  <c r="BJ133"/>
  <c r="BI134"/>
  <c r="BG134"/>
  <c r="BH134"/>
  <c r="BK134"/>
  <c r="BC134"/>
  <c r="BE134"/>
  <c r="BF134"/>
  <c r="BJ134"/>
  <c r="BB134"/>
  <c r="BD134"/>
  <c r="BH3"/>
  <c r="BG3"/>
  <c r="BC4"/>
  <c r="BB4"/>
  <c r="BK4"/>
  <c r="BE4"/>
  <c r="BG4"/>
  <c r="BJ4"/>
  <c r="BI4"/>
  <c r="BD4"/>
  <c r="BF24"/>
  <c r="BI24"/>
  <c r="BD24"/>
  <c r="BG24"/>
  <c r="BH24"/>
  <c r="BB24"/>
  <c r="BK24"/>
  <c r="BC24"/>
  <c r="BE24"/>
  <c r="BE144"/>
  <c r="BE113" s="1"/>
  <c r="BD144"/>
  <c r="BD113" s="1"/>
  <c r="BK144"/>
  <c r="BK113" s="1"/>
  <c r="BB144"/>
  <c r="BB113" s="1"/>
  <c r="BC144"/>
  <c r="BC113" s="1"/>
  <c r="BI3"/>
  <c r="C190" i="3"/>
  <c r="C138"/>
  <c r="C27"/>
  <c r="C43"/>
  <c r="C60"/>
  <c r="C73"/>
  <c r="C98"/>
  <c r="C114"/>
  <c r="C139"/>
  <c r="C157"/>
  <c r="C170"/>
  <c r="C175"/>
  <c r="C185"/>
  <c r="C79"/>
  <c r="C128"/>
  <c r="C177"/>
  <c r="C24"/>
  <c r="C33"/>
  <c r="C40"/>
  <c r="C49"/>
  <c r="C59"/>
  <c r="C64"/>
  <c r="C72"/>
  <c r="C81"/>
  <c r="C95"/>
  <c r="C107"/>
  <c r="C113"/>
  <c r="C119"/>
  <c r="C131"/>
  <c r="C144"/>
  <c r="C155"/>
  <c r="C163"/>
  <c r="C169"/>
  <c r="C173"/>
  <c r="C180"/>
  <c r="C197"/>
  <c r="C56"/>
  <c r="C120"/>
  <c r="C174"/>
  <c r="C21"/>
  <c r="C28"/>
  <c r="C35"/>
  <c r="C46"/>
  <c r="C54"/>
  <c r="C61"/>
  <c r="C67"/>
  <c r="C92"/>
  <c r="C105"/>
  <c r="C111"/>
  <c r="C115"/>
  <c r="C127"/>
  <c r="C141"/>
  <c r="C150"/>
  <c r="C159"/>
  <c r="C166"/>
  <c r="C171"/>
  <c r="C176"/>
  <c r="C186"/>
  <c r="C4"/>
  <c r="C80"/>
  <c r="C133"/>
  <c r="C34"/>
  <c r="C53"/>
  <c r="C66"/>
  <c r="C91"/>
  <c r="C108"/>
  <c r="C125"/>
  <c r="C149"/>
  <c r="C165"/>
  <c r="C22"/>
  <c r="C23"/>
  <c r="C31"/>
  <c r="C47"/>
  <c r="C55"/>
  <c r="C63"/>
  <c r="C68"/>
  <c r="C78"/>
  <c r="C93"/>
  <c r="C106"/>
  <c r="C112"/>
  <c r="C117"/>
  <c r="C130"/>
  <c r="C143"/>
  <c r="C151"/>
  <c r="C161"/>
  <c r="C168"/>
  <c r="C172"/>
  <c r="C179"/>
  <c r="C193"/>
  <c r="C18"/>
  <c r="C97"/>
  <c r="C15"/>
  <c r="C134"/>
  <c r="C103"/>
  <c r="C102"/>
  <c r="C101"/>
  <c r="C100"/>
  <c r="C85"/>
  <c r="C89"/>
  <c r="C84"/>
  <c r="C83"/>
  <c r="C122"/>
  <c r="C109"/>
  <c r="C25"/>
  <c r="C9"/>
  <c r="C20"/>
  <c r="C52"/>
  <c r="C96"/>
  <c r="C126"/>
  <c r="C137"/>
  <c r="C156"/>
  <c r="BF133" i="2" l="1"/>
  <c r="BD133"/>
  <c r="BC133"/>
  <c r="BH133"/>
  <c r="G29" i="1"/>
  <c r="G28"/>
  <c r="G27"/>
  <c r="G26"/>
  <c r="G25"/>
  <c r="O29"/>
  <c r="O28"/>
  <c r="O27"/>
  <c r="O26"/>
  <c r="O25"/>
  <c r="O24"/>
  <c r="O23"/>
  <c r="O22"/>
  <c r="O21"/>
  <c r="O20"/>
  <c r="R20"/>
  <c r="R29"/>
  <c r="R28"/>
  <c r="R27"/>
  <c r="R26"/>
  <c r="R25"/>
  <c r="R24"/>
  <c r="R23"/>
  <c r="R22"/>
  <c r="R21"/>
  <c r="U20"/>
  <c r="U29"/>
  <c r="U28"/>
  <c r="U27"/>
  <c r="U26"/>
  <c r="U25"/>
  <c r="U24"/>
  <c r="U23"/>
  <c r="U22"/>
  <c r="U21"/>
  <c r="V29"/>
  <c r="V28"/>
  <c r="V27"/>
  <c r="V26"/>
  <c r="V25"/>
  <c r="V24"/>
  <c r="V23"/>
  <c r="V22"/>
  <c r="V21"/>
  <c r="P29"/>
  <c r="P28"/>
  <c r="P27"/>
  <c r="P26"/>
  <c r="M29"/>
  <c r="M28"/>
  <c r="M27"/>
  <c r="H200" i="3"/>
  <c r="G188"/>
  <c r="G187"/>
  <c r="G182"/>
  <c r="G156"/>
  <c r="G148"/>
  <c r="G146"/>
  <c r="G142"/>
  <c r="G123"/>
  <c r="G122"/>
  <c r="G96"/>
  <c r="G90"/>
  <c r="G88"/>
  <c r="G45"/>
  <c r="G31"/>
  <c r="G25"/>
  <c r="G8"/>
  <c r="L20" i="1"/>
  <c r="L29"/>
  <c r="L28"/>
  <c r="L27"/>
  <c r="L26"/>
  <c r="M26" s="1"/>
  <c r="L25"/>
  <c r="L24"/>
  <c r="L23"/>
  <c r="L22"/>
  <c r="L21"/>
  <c r="C10" i="5"/>
  <c r="Z13" i="1" s="1"/>
  <c r="W13"/>
  <c r="I134" i="3" l="1"/>
  <c r="K95" i="2"/>
  <c r="K94"/>
  <c r="BA75"/>
  <c r="AL75"/>
  <c r="AD75"/>
  <c r="Y75"/>
  <c r="I38" i="3"/>
  <c r="G38" s="1"/>
  <c r="K96" i="2" l="1"/>
  <c r="F35" s="1"/>
  <c r="B200" i="3"/>
  <c r="C200"/>
  <c r="D200"/>
  <c r="E200"/>
  <c r="F200"/>
  <c r="G200"/>
  <c r="I200"/>
  <c r="J200"/>
  <c r="K200"/>
  <c r="L200"/>
  <c r="M200"/>
  <c r="N200"/>
  <c r="O200"/>
  <c r="P200"/>
  <c r="A200"/>
  <c r="BM44" i="1"/>
  <c r="BM5"/>
  <c r="BM43"/>
  <c r="BM42"/>
  <c r="BM41"/>
  <c r="BM40"/>
  <c r="BM39"/>
  <c r="BM38"/>
  <c r="BM37"/>
  <c r="BM36"/>
  <c r="BM35"/>
  <c r="BM34"/>
  <c r="BM33"/>
  <c r="BM32"/>
  <c r="BM31"/>
  <c r="BM30"/>
  <c r="BM29"/>
  <c r="BM28"/>
  <c r="BM27"/>
  <c r="BM26"/>
  <c r="BM25"/>
  <c r="BM24"/>
  <c r="BM23"/>
  <c r="BM22"/>
  <c r="BM21"/>
  <c r="BM20"/>
  <c r="BM19"/>
  <c r="BM18"/>
  <c r="BM17"/>
  <c r="BM16"/>
  <c r="BM15"/>
  <c r="BM13"/>
  <c r="BM12"/>
  <c r="BM11"/>
  <c r="BM10"/>
  <c r="BM9"/>
  <c r="BM8"/>
  <c r="BM7"/>
  <c r="BM6"/>
  <c r="BM4"/>
  <c r="I35" i="2" l="1"/>
  <c r="I37" s="1"/>
  <c r="I38" s="1"/>
  <c r="B35"/>
  <c r="B37" s="1"/>
  <c r="B38" s="1"/>
  <c r="H35"/>
  <c r="K35"/>
  <c r="E35"/>
  <c r="C35"/>
  <c r="J35"/>
  <c r="D35"/>
  <c r="G35"/>
  <c r="G37" s="1"/>
  <c r="G38" s="1"/>
  <c r="A35"/>
  <c r="J37"/>
  <c r="F37"/>
  <c r="F38" s="1"/>
  <c r="H37"/>
  <c r="H38" s="1"/>
  <c r="K37"/>
  <c r="K38" s="1"/>
  <c r="E37"/>
  <c r="D37"/>
  <c r="D38" s="1"/>
  <c r="C37"/>
  <c r="X27" i="1"/>
  <c r="X28"/>
  <c r="X29"/>
  <c r="J38" i="2" l="1"/>
  <c r="E38"/>
  <c r="C38"/>
  <c r="G4" i="1"/>
  <c r="BA3" i="2"/>
  <c r="BA144"/>
  <c r="BA72"/>
  <c r="BA82"/>
  <c r="BA50"/>
  <c r="BA101"/>
  <c r="BA127"/>
  <c r="BA112"/>
  <c r="BA25"/>
  <c r="BA22"/>
  <c r="BA140"/>
  <c r="BA139"/>
  <c r="BA125"/>
  <c r="BA111"/>
  <c r="BA55"/>
  <c r="BA106"/>
  <c r="BA135"/>
  <c r="BA131"/>
  <c r="BA130"/>
  <c r="BA129"/>
  <c r="BA123"/>
  <c r="BA122"/>
  <c r="BA117"/>
  <c r="BA115"/>
  <c r="BA105"/>
  <c r="BA104"/>
  <c r="BA99"/>
  <c r="BA98"/>
  <c r="BA96"/>
  <c r="BA95"/>
  <c r="BA87"/>
  <c r="BA84"/>
  <c r="BA81"/>
  <c r="BA60"/>
  <c r="BA59"/>
  <c r="BA57"/>
  <c r="BA45"/>
  <c r="BA39"/>
  <c r="BA38"/>
  <c r="BA37"/>
  <c r="BA35"/>
  <c r="BA29"/>
  <c r="BA27"/>
  <c r="BA11"/>
  <c r="BA10"/>
  <c r="BA9"/>
  <c r="BA7"/>
  <c r="BA4"/>
  <c r="BA6"/>
  <c r="BA19"/>
  <c r="BA142"/>
  <c r="BA134"/>
  <c r="BA118"/>
  <c r="BA116"/>
  <c r="BA114"/>
  <c r="BA103"/>
  <c r="BA88"/>
  <c r="BA85"/>
  <c r="BA56"/>
  <c r="BA40"/>
  <c r="BA36"/>
  <c r="BA34"/>
  <c r="BA30"/>
  <c r="BA28"/>
  <c r="BA15"/>
  <c r="BA16"/>
  <c r="BA17"/>
  <c r="BA133"/>
  <c r="BA71"/>
  <c r="BA61"/>
  <c r="BA18"/>
  <c r="BA14"/>
  <c r="BA89"/>
  <c r="BA24"/>
  <c r="BA43"/>
  <c r="BA153"/>
  <c r="BA151"/>
  <c r="BA150"/>
  <c r="BA149"/>
  <c r="BA138"/>
  <c r="BA137"/>
  <c r="BA136"/>
  <c r="BA132"/>
  <c r="BA126"/>
  <c r="BA121"/>
  <c r="BA113"/>
  <c r="BA109"/>
  <c r="BA108"/>
  <c r="BA102"/>
  <c r="BA97"/>
  <c r="BA86"/>
  <c r="BA80"/>
  <c r="BA74"/>
  <c r="BA73"/>
  <c r="BA70"/>
  <c r="BA69"/>
  <c r="BA63"/>
  <c r="BA62"/>
  <c r="BA58"/>
  <c r="BA49"/>
  <c r="BA48"/>
  <c r="BA47"/>
  <c r="BA46"/>
  <c r="BA44"/>
  <c r="BA42"/>
  <c r="BA41"/>
  <c r="BA23"/>
  <c r="BA2"/>
  <c r="Y106"/>
  <c r="Y107"/>
  <c r="Y3"/>
  <c r="Y144"/>
  <c r="Y72"/>
  <c r="Y82"/>
  <c r="Y50"/>
  <c r="Y30"/>
  <c r="Y101"/>
  <c r="Y127"/>
  <c r="Y112"/>
  <c r="Y25"/>
  <c r="Y22"/>
  <c r="Y140"/>
  <c r="Y139"/>
  <c r="Y125"/>
  <c r="Y111"/>
  <c r="Y55"/>
  <c r="Y135"/>
  <c r="Y131"/>
  <c r="Y130"/>
  <c r="Y129"/>
  <c r="Y123"/>
  <c r="Y122"/>
  <c r="Y117"/>
  <c r="Y115"/>
  <c r="Y105"/>
  <c r="Y104"/>
  <c r="Y99"/>
  <c r="Y98"/>
  <c r="Y96"/>
  <c r="Y95"/>
  <c r="Y87"/>
  <c r="Y84"/>
  <c r="Y81"/>
  <c r="Y60"/>
  <c r="Y59"/>
  <c r="Y57"/>
  <c r="Y45"/>
  <c r="Y39"/>
  <c r="Y38"/>
  <c r="Y37"/>
  <c r="Y35"/>
  <c r="Y29"/>
  <c r="Y27"/>
  <c r="Y11"/>
  <c r="Y10"/>
  <c r="Y9"/>
  <c r="Y7"/>
  <c r="Y4"/>
  <c r="Y6"/>
  <c r="Y19"/>
  <c r="Y142"/>
  <c r="Y134"/>
  <c r="Y118"/>
  <c r="Y116"/>
  <c r="Y114"/>
  <c r="Y103"/>
  <c r="Y88"/>
  <c r="Y85"/>
  <c r="Y56"/>
  <c r="Y40"/>
  <c r="Y36"/>
  <c r="Y34"/>
  <c r="Y28"/>
  <c r="Y15"/>
  <c r="Y16"/>
  <c r="Y17"/>
  <c r="Y133"/>
  <c r="Y71"/>
  <c r="Y61"/>
  <c r="Y14"/>
  <c r="Y18"/>
  <c r="Y89"/>
  <c r="Y24"/>
  <c r="Y43"/>
  <c r="Y153"/>
  <c r="Y151"/>
  <c r="Y150"/>
  <c r="Y149"/>
  <c r="Y138"/>
  <c r="Y137"/>
  <c r="Y136"/>
  <c r="Y132"/>
  <c r="Y126"/>
  <c r="Y121"/>
  <c r="Y113"/>
  <c r="Y109"/>
  <c r="Y108"/>
  <c r="Y102"/>
  <c r="Y97"/>
  <c r="Y86"/>
  <c r="Y80"/>
  <c r="Y74"/>
  <c r="Y73"/>
  <c r="Y70"/>
  <c r="Y69"/>
  <c r="Y63"/>
  <c r="Y62"/>
  <c r="Y58"/>
  <c r="Y49"/>
  <c r="Y48"/>
  <c r="Y47"/>
  <c r="Y46"/>
  <c r="Y44"/>
  <c r="Y42"/>
  <c r="Y41"/>
  <c r="Y23"/>
  <c r="Y2"/>
  <c r="AL55" l="1"/>
  <c r="AL125"/>
  <c r="AL24"/>
  <c r="AI133"/>
  <c r="AI136"/>
  <c r="AI121"/>
  <c r="AI82"/>
  <c r="AI72"/>
  <c r="AI56"/>
  <c r="AI50"/>
  <c r="AI24" i="1" s="1"/>
  <c r="AI25" i="2"/>
  <c r="AI19"/>
  <c r="AM55"/>
  <c r="AM125"/>
  <c r="AM139"/>
  <c r="AM134"/>
  <c r="AM131"/>
  <c r="AM130"/>
  <c r="AM129"/>
  <c r="AM127"/>
  <c r="AM123"/>
  <c r="AM122"/>
  <c r="AM118"/>
  <c r="AM117"/>
  <c r="AM116"/>
  <c r="AM115"/>
  <c r="AM114"/>
  <c r="AM112"/>
  <c r="AM105"/>
  <c r="AM103"/>
  <c r="AM107"/>
  <c r="AM106"/>
  <c r="AM104"/>
  <c r="AM99"/>
  <c r="AM98"/>
  <c r="AM96"/>
  <c r="AM95"/>
  <c r="AM88"/>
  <c r="AM87"/>
  <c r="AM85"/>
  <c r="AM84"/>
  <c r="AM60"/>
  <c r="AM59"/>
  <c r="AM57"/>
  <c r="AM45"/>
  <c r="AM43"/>
  <c r="AM40"/>
  <c r="AM39"/>
  <c r="AM38"/>
  <c r="AM37"/>
  <c r="AM36"/>
  <c r="AM35"/>
  <c r="AM34"/>
  <c r="AM29"/>
  <c r="AM28"/>
  <c r="AM27"/>
  <c r="AM25"/>
  <c r="AM24"/>
  <c r="AM22"/>
  <c r="AM11"/>
  <c r="AM10"/>
  <c r="AM9"/>
  <c r="AM7"/>
  <c r="AM4"/>
  <c r="AM3"/>
  <c r="AM56"/>
  <c r="AM81"/>
  <c r="AM111"/>
  <c r="AM135"/>
  <c r="AM140"/>
  <c r="AM142"/>
  <c r="AM144"/>
  <c r="AD111"/>
  <c r="AD46"/>
  <c r="AD153"/>
  <c r="AD151"/>
  <c r="AD150"/>
  <c r="AD149"/>
  <c r="AD138"/>
  <c r="AD137"/>
  <c r="AD136"/>
  <c r="AD132"/>
  <c r="AD126"/>
  <c r="AD121"/>
  <c r="AD109"/>
  <c r="AD108"/>
  <c r="AD102"/>
  <c r="AD97"/>
  <c r="AD86"/>
  <c r="AD80"/>
  <c r="AD74"/>
  <c r="AD73"/>
  <c r="AD70"/>
  <c r="AD69"/>
  <c r="AD63"/>
  <c r="AD62"/>
  <c r="AD58"/>
  <c r="AD50"/>
  <c r="AD49"/>
  <c r="AD48"/>
  <c r="AD47"/>
  <c r="AD44"/>
  <c r="AD42"/>
  <c r="AD30"/>
  <c r="AD101"/>
  <c r="AD89"/>
  <c r="AD71"/>
  <c r="AD61"/>
  <c r="AD18"/>
  <c r="AD16"/>
  <c r="AD15"/>
  <c r="AD14"/>
  <c r="AD135"/>
  <c r="AD56"/>
  <c r="AD6"/>
  <c r="AD142"/>
  <c r="AD134"/>
  <c r="AD123"/>
  <c r="AD118"/>
  <c r="AD116"/>
  <c r="AD114"/>
  <c r="AD107"/>
  <c r="AD103"/>
  <c r="AD85"/>
  <c r="AD40"/>
  <c r="AD36"/>
  <c r="AD34"/>
  <c r="AD28"/>
  <c r="AD19"/>
  <c r="AD11"/>
  <c r="AD10"/>
  <c r="AD9"/>
  <c r="AD140"/>
  <c r="AD139"/>
  <c r="AD131"/>
  <c r="AD130"/>
  <c r="AD129"/>
  <c r="AD127"/>
  <c r="AD125"/>
  <c r="AD122"/>
  <c r="AD117"/>
  <c r="AD115"/>
  <c r="AD112"/>
  <c r="AD106"/>
  <c r="AD105"/>
  <c r="AD104"/>
  <c r="AD99"/>
  <c r="AD98"/>
  <c r="AD96"/>
  <c r="AD95"/>
  <c r="AD88"/>
  <c r="AD87"/>
  <c r="AD84"/>
  <c r="AD82"/>
  <c r="AD81"/>
  <c r="AD72"/>
  <c r="AD60"/>
  <c r="AD59"/>
  <c r="AD57"/>
  <c r="AD55"/>
  <c r="AD45"/>
  <c r="AD39"/>
  <c r="AD38"/>
  <c r="AD37"/>
  <c r="AD35"/>
  <c r="AD27"/>
  <c r="AD22"/>
  <c r="AD7"/>
  <c r="AD25"/>
  <c r="AD133"/>
  <c r="AD29"/>
  <c r="AD3"/>
  <c r="AD144"/>
  <c r="AD43"/>
  <c r="AD24"/>
  <c r="AD41"/>
  <c r="AD23"/>
  <c r="AD2"/>
  <c r="I61" l="1"/>
  <c r="I20"/>
  <c r="AS16"/>
  <c r="AL17"/>
  <c r="AL16"/>
  <c r="AU46"/>
  <c r="AU129"/>
  <c r="AT122"/>
  <c r="AS70" l="1"/>
  <c r="AR11"/>
  <c r="AR10"/>
  <c r="AR9"/>
  <c r="AQ58"/>
  <c r="AL140" l="1"/>
  <c r="AL139"/>
  <c r="AL111"/>
  <c r="AL99"/>
  <c r="AL98"/>
  <c r="AL25"/>
  <c r="AL144"/>
  <c r="AL135"/>
  <c r="AL131"/>
  <c r="AL130"/>
  <c r="AL129"/>
  <c r="AL123"/>
  <c r="AL122"/>
  <c r="AL117"/>
  <c r="AL106"/>
  <c r="AL105"/>
  <c r="AL104"/>
  <c r="AL101"/>
  <c r="AL96"/>
  <c r="AL95"/>
  <c r="AL87"/>
  <c r="AL84"/>
  <c r="AL81"/>
  <c r="AL60"/>
  <c r="AL59"/>
  <c r="AL57"/>
  <c r="AL45"/>
  <c r="AL43"/>
  <c r="AL39"/>
  <c r="AL38"/>
  <c r="AL37"/>
  <c r="AL35"/>
  <c r="AL29"/>
  <c r="AL27"/>
  <c r="AL11"/>
  <c r="AL10"/>
  <c r="AL9"/>
  <c r="AL7"/>
  <c r="AL4"/>
  <c r="AL3"/>
  <c r="AL133"/>
  <c r="AL115"/>
  <c r="AL19"/>
  <c r="AL15"/>
  <c r="AL142"/>
  <c r="AL112"/>
  <c r="AL22"/>
  <c r="AL127"/>
  <c r="AL134"/>
  <c r="AL114"/>
  <c r="AL88"/>
  <c r="AL118"/>
  <c r="AL116"/>
  <c r="AL108"/>
  <c r="AL107"/>
  <c r="AL103"/>
  <c r="AL89"/>
  <c r="AL85"/>
  <c r="AL82"/>
  <c r="AL74"/>
  <c r="AL72"/>
  <c r="AL71"/>
  <c r="AL61"/>
  <c r="AL50"/>
  <c r="AL40"/>
  <c r="AL36"/>
  <c r="AL28"/>
  <c r="AL18"/>
  <c r="AL14"/>
  <c r="AL30"/>
  <c r="AL153"/>
  <c r="AL151"/>
  <c r="AL150"/>
  <c r="AL149"/>
  <c r="AL138"/>
  <c r="AL137"/>
  <c r="AL136"/>
  <c r="AL132"/>
  <c r="AL126"/>
  <c r="AL121"/>
  <c r="AL109"/>
  <c r="AL102"/>
  <c r="AL97"/>
  <c r="AL86"/>
  <c r="AL80"/>
  <c r="AL73"/>
  <c r="AL70"/>
  <c r="AL69"/>
  <c r="AL63"/>
  <c r="AL6"/>
  <c r="AL23"/>
  <c r="AL34"/>
  <c r="AL41"/>
  <c r="AL42"/>
  <c r="AL44"/>
  <c r="AL46"/>
  <c r="AL47"/>
  <c r="AL48"/>
  <c r="AL49"/>
  <c r="AL56"/>
  <c r="AL58"/>
  <c r="AL62"/>
  <c r="AL2"/>
  <c r="Z155" l="1"/>
  <c r="G10" i="1" l="1"/>
  <c r="G7"/>
  <c r="AA11" s="1"/>
  <c r="G6"/>
  <c r="G5"/>
  <c r="M155" i="2"/>
  <c r="N155"/>
  <c r="O155"/>
  <c r="P155"/>
  <c r="Q155"/>
  <c r="R155"/>
  <c r="S155"/>
  <c r="T155"/>
  <c r="U155"/>
  <c r="V155"/>
  <c r="W155"/>
  <c r="X155"/>
  <c r="Y155"/>
  <c r="AA155"/>
  <c r="AB155"/>
  <c r="AC155"/>
  <c r="AD155"/>
  <c r="AE155"/>
  <c r="AF155"/>
  <c r="AG155"/>
  <c r="AH155"/>
  <c r="AI155"/>
  <c r="AJ155"/>
  <c r="AK155"/>
  <c r="AL155"/>
  <c r="AM155"/>
  <c r="AN155"/>
  <c r="AO155"/>
  <c r="AP155"/>
  <c r="AQ155"/>
  <c r="AR155"/>
  <c r="AS155"/>
  <c r="AT155"/>
  <c r="AU155"/>
  <c r="AV155"/>
  <c r="AW155"/>
  <c r="AX155"/>
  <c r="AY155"/>
  <c r="AZ155"/>
  <c r="BA155"/>
  <c r="BB155"/>
  <c r="BE155"/>
  <c r="BC155"/>
  <c r="BD155"/>
  <c r="BF155"/>
  <c r="BG155"/>
  <c r="BH155"/>
  <c r="BI155"/>
  <c r="BJ155"/>
  <c r="BK155"/>
  <c r="BL155"/>
  <c r="BM155"/>
  <c r="BN155"/>
  <c r="BQ155"/>
  <c r="BO155"/>
  <c r="BP155"/>
  <c r="BR155"/>
  <c r="BS155"/>
  <c r="BT155"/>
  <c r="BU155"/>
  <c r="BV155"/>
  <c r="BW155"/>
  <c r="BX155"/>
  <c r="CA155"/>
  <c r="BY155"/>
  <c r="BZ155"/>
  <c r="CB155"/>
  <c r="CC155"/>
  <c r="CD155"/>
  <c r="CE155"/>
  <c r="CF155"/>
  <c r="CG155"/>
  <c r="L155"/>
  <c r="E115" l="1"/>
  <c r="AA6" i="1" s="1"/>
  <c r="E117" i="2"/>
  <c r="C82" i="3"/>
  <c r="C6"/>
  <c r="C191"/>
  <c r="C192"/>
  <c r="C19"/>
  <c r="C7"/>
  <c r="C71"/>
  <c r="C70"/>
  <c r="AH11" i="1"/>
  <c r="D57" i="2"/>
  <c r="E57" s="1"/>
  <c r="D56"/>
  <c r="H56" s="1"/>
  <c r="AC10"/>
  <c r="AC11"/>
  <c r="C30" i="3"/>
  <c r="AC9" i="2"/>
  <c r="C2" i="3"/>
  <c r="C162"/>
  <c r="C77"/>
  <c r="C136"/>
  <c r="C16"/>
  <c r="C167"/>
  <c r="C99"/>
  <c r="C195"/>
  <c r="C146"/>
  <c r="G20" i="1" s="1"/>
  <c r="C42" i="3"/>
  <c r="C181"/>
  <c r="G23" i="1" s="1"/>
  <c r="C116" i="3"/>
  <c r="C153"/>
  <c r="C57"/>
  <c r="C183"/>
  <c r="C121"/>
  <c r="C12"/>
  <c r="C160"/>
  <c r="C62"/>
  <c r="C32"/>
  <c r="C76"/>
  <c r="C152"/>
  <c r="C50"/>
  <c r="C182"/>
  <c r="C118"/>
  <c r="C5"/>
  <c r="C154"/>
  <c r="C58"/>
  <c r="C184"/>
  <c r="C124"/>
  <c r="C13"/>
  <c r="C3"/>
  <c r="C187"/>
  <c r="C129"/>
  <c r="C14"/>
  <c r="C164"/>
  <c r="C94"/>
  <c r="C194"/>
  <c r="C145"/>
  <c r="C178"/>
  <c r="C110"/>
  <c r="C8"/>
  <c r="C158"/>
  <c r="C44"/>
  <c r="C51"/>
  <c r="G22" i="1" s="1"/>
  <c r="C188" i="3"/>
  <c r="C189"/>
  <c r="C41"/>
  <c r="C148"/>
  <c r="C38"/>
  <c r="C90"/>
  <c r="C88"/>
  <c r="C48"/>
  <c r="C65"/>
  <c r="C45"/>
  <c r="C196"/>
  <c r="C140"/>
  <c r="C26"/>
  <c r="G109"/>
  <c r="AG26" i="1"/>
  <c r="AG30"/>
  <c r="AG34"/>
  <c r="AG29"/>
  <c r="AG28"/>
  <c r="AG27"/>
  <c r="AG31"/>
  <c r="AG25"/>
  <c r="AG33"/>
  <c r="AG32"/>
  <c r="AM101" i="2"/>
  <c r="G9" i="1"/>
  <c r="AM5" i="2" s="1"/>
  <c r="G8" i="1"/>
  <c r="G12"/>
  <c r="AI22" l="1"/>
  <c r="AM21" i="2"/>
  <c r="AM20"/>
  <c r="AM124"/>
  <c r="G21" i="1"/>
  <c r="G24"/>
  <c r="I58" i="2"/>
  <c r="D64" s="1"/>
  <c r="F57"/>
  <c r="G57"/>
  <c r="H57"/>
  <c r="E56"/>
  <c r="F56"/>
  <c r="G56"/>
  <c r="AM19"/>
  <c r="G11" i="1"/>
  <c r="AM51" i="2" s="1"/>
  <c r="X26" i="1"/>
  <c r="V20"/>
  <c r="AM52" i="2" l="1"/>
  <c r="AH12" i="1" s="1"/>
  <c r="AA12"/>
  <c r="AA13" s="1"/>
  <c r="H58" i="2"/>
  <c r="H62" s="1"/>
  <c r="U17" i="1" s="1"/>
  <c r="E58" i="2"/>
  <c r="E62" s="1"/>
  <c r="L17" i="1" s="1"/>
  <c r="L19" s="1"/>
  <c r="M25" s="1"/>
  <c r="I57" i="2"/>
  <c r="F58"/>
  <c r="F62" s="1"/>
  <c r="O17" i="1" s="1"/>
  <c r="G58" i="2"/>
  <c r="G62" s="1"/>
  <c r="R17" i="1" s="1"/>
  <c r="H64" i="2" l="1"/>
  <c r="G64"/>
  <c r="H63"/>
  <c r="F63"/>
  <c r="F64"/>
  <c r="E63"/>
  <c r="G63"/>
  <c r="E64"/>
  <c r="G3" i="1"/>
  <c r="BM92" i="2" l="1"/>
  <c r="BL92"/>
  <c r="BL93"/>
  <c r="BM93"/>
  <c r="BM90"/>
  <c r="BL90"/>
  <c r="G36" i="3"/>
  <c r="BM91" i="2"/>
  <c r="BL91"/>
  <c r="BL33"/>
  <c r="BM33"/>
  <c r="BL32"/>
  <c r="BM32"/>
  <c r="BM31"/>
  <c r="BL31"/>
  <c r="BM5"/>
  <c r="BL5"/>
  <c r="BM78"/>
  <c r="BL78"/>
  <c r="BM119"/>
  <c r="BL119"/>
  <c r="BM128"/>
  <c r="BL128"/>
  <c r="BL76"/>
  <c r="BM76"/>
  <c r="BL152"/>
  <c r="BM152"/>
  <c r="BM120"/>
  <c r="BL120"/>
  <c r="BM110"/>
  <c r="BL110"/>
  <c r="BL79"/>
  <c r="BM79"/>
  <c r="G39" i="3"/>
  <c r="G104"/>
  <c r="G87"/>
  <c r="BL13" i="2"/>
  <c r="BM13"/>
  <c r="BL100"/>
  <c r="G82" i="3"/>
  <c r="BM100" i="2"/>
  <c r="BM65"/>
  <c r="BM66"/>
  <c r="BM67"/>
  <c r="BM68"/>
  <c r="BL66"/>
  <c r="BL67"/>
  <c r="BL65"/>
  <c r="BL68"/>
  <c r="BM64"/>
  <c r="BL64"/>
  <c r="BL53"/>
  <c r="BM53"/>
  <c r="BL77"/>
  <c r="G10" i="3"/>
  <c r="BM77" i="2"/>
  <c r="G11" i="3"/>
  <c r="G75"/>
  <c r="G191"/>
  <c r="BL12" i="2"/>
  <c r="G19" i="3"/>
  <c r="G6"/>
  <c r="BM12" i="2"/>
  <c r="G7" i="3"/>
  <c r="BM83" i="2"/>
  <c r="BL83"/>
  <c r="BM94"/>
  <c r="BL94"/>
  <c r="BL52"/>
  <c r="BM52"/>
  <c r="BM51"/>
  <c r="BL51"/>
  <c r="BM21"/>
  <c r="BL21"/>
  <c r="BL54"/>
  <c r="BL20"/>
  <c r="BM20"/>
  <c r="BL143"/>
  <c r="BM54"/>
  <c r="BM143"/>
  <c r="BL147"/>
  <c r="BM147"/>
  <c r="BM148"/>
  <c r="BL148"/>
  <c r="BL26"/>
  <c r="BM26"/>
  <c r="BL8"/>
  <c r="BM8"/>
  <c r="BL141"/>
  <c r="BM141"/>
  <c r="BL146"/>
  <c r="BM146"/>
  <c r="BL145"/>
  <c r="G70" i="3"/>
  <c r="G29"/>
  <c r="BM145" i="2"/>
  <c r="G71" i="3"/>
  <c r="G69"/>
  <c r="G135"/>
  <c r="BM124" i="2"/>
  <c r="BL124"/>
  <c r="I64"/>
  <c r="I63"/>
  <c r="BM82"/>
  <c r="G30" i="3"/>
  <c r="G134"/>
  <c r="X25" i="1" s="1"/>
  <c r="BL59" i="2"/>
  <c r="G42" i="3"/>
  <c r="BL118" i="2"/>
  <c r="BL35"/>
  <c r="BL56"/>
  <c r="BM10"/>
  <c r="BM16"/>
  <c r="G74" i="3"/>
  <c r="BL70" i="2"/>
  <c r="BL134"/>
  <c r="G130" i="3"/>
  <c r="BM109" i="2"/>
  <c r="G13" i="1"/>
  <c r="D17" i="7" s="1"/>
  <c r="D20" s="1"/>
  <c r="G23" i="3"/>
  <c r="BL116" i="2"/>
  <c r="BM132"/>
  <c r="BM127"/>
  <c r="BM69"/>
  <c r="BL126"/>
  <c r="BL95"/>
  <c r="G32" i="3"/>
  <c r="BM131" i="2"/>
  <c r="BM70"/>
  <c r="G176" i="3"/>
  <c r="BL97" i="2"/>
  <c r="BM81"/>
  <c r="G183" i="3"/>
  <c r="BM45" i="2"/>
  <c r="BL121"/>
  <c r="BM136"/>
  <c r="BM73"/>
  <c r="G76" i="3"/>
  <c r="BL107" i="2"/>
  <c r="BL50"/>
  <c r="BL63"/>
  <c r="BL104"/>
  <c r="G175" i="3"/>
  <c r="G105"/>
  <c r="BL115" i="2"/>
  <c r="G129" i="3"/>
  <c r="G160"/>
  <c r="BM34" i="2"/>
  <c r="BL71"/>
  <c r="G18" i="3"/>
  <c r="G33"/>
  <c r="G98"/>
  <c r="BM48" i="2"/>
  <c r="BM138"/>
  <c r="BL117"/>
  <c r="BM144"/>
  <c r="G155" i="3"/>
  <c r="BM106" i="2"/>
  <c r="BL75"/>
  <c r="G103" i="3"/>
  <c r="BL72" i="2"/>
  <c r="G170" i="3"/>
  <c r="BL29" i="2"/>
  <c r="G24" i="3"/>
  <c r="BL3" i="2"/>
  <c r="BM2"/>
  <c r="BL58"/>
  <c r="G150" i="3"/>
  <c r="G22"/>
  <c r="G106"/>
  <c r="BM142" i="2"/>
  <c r="G189" i="3"/>
  <c r="BL123" i="2"/>
  <c r="G174" i="3"/>
  <c r="G89"/>
  <c r="G95"/>
  <c r="G180"/>
  <c r="BM15" i="2"/>
  <c r="BL135"/>
  <c r="BM129"/>
  <c r="BL16"/>
  <c r="G78" i="3"/>
  <c r="G144"/>
  <c r="G124"/>
  <c r="G26"/>
  <c r="X21" i="1" s="1"/>
  <c r="BL144" i="2"/>
  <c r="BL4"/>
  <c r="BL23"/>
  <c r="BL47"/>
  <c r="G66" i="3"/>
  <c r="G115"/>
  <c r="BM50" i="2"/>
  <c r="BL88"/>
  <c r="BM7"/>
  <c r="G40" i="3"/>
  <c r="BL130" i="2"/>
  <c r="BL80"/>
  <c r="G37" i="3"/>
  <c r="G185"/>
  <c r="BL22" i="2"/>
  <c r="BM71"/>
  <c r="BL132"/>
  <c r="BM55"/>
  <c r="BM111"/>
  <c r="G91" i="3"/>
  <c r="BM88" i="2"/>
  <c r="G81" i="3"/>
  <c r="BL81" i="2"/>
  <c r="G196" i="3"/>
  <c r="BL133" i="2"/>
  <c r="G43" i="3"/>
  <c r="G5"/>
  <c r="BM105" i="2"/>
  <c r="G102" i="3"/>
  <c r="G157"/>
  <c r="BM41" i="2"/>
  <c r="BM3"/>
  <c r="G145" i="3"/>
  <c r="BL39" i="2"/>
  <c r="BM98"/>
  <c r="BM86"/>
  <c r="BM36"/>
  <c r="BL55"/>
  <c r="BL37"/>
  <c r="BM74"/>
  <c r="BM97"/>
  <c r="G72" i="3"/>
  <c r="BL69" i="2"/>
  <c r="BM85"/>
  <c r="BM28"/>
  <c r="BM40"/>
  <c r="G41" i="3"/>
  <c r="G14"/>
  <c r="BL46" i="2"/>
  <c r="G171" i="3"/>
  <c r="G53"/>
  <c r="G184"/>
  <c r="BM37" i="2"/>
  <c r="BL19"/>
  <c r="BL138"/>
  <c r="G158" i="3"/>
  <c r="BM126" i="2"/>
  <c r="G83" i="3"/>
  <c r="BM153" i="2"/>
  <c r="G132" i="3"/>
  <c r="G15"/>
  <c r="G44"/>
  <c r="G73"/>
  <c r="BM39" i="2"/>
  <c r="BM23"/>
  <c r="BL60"/>
  <c r="G125" i="3"/>
  <c r="BL151" i="2"/>
  <c r="BM30"/>
  <c r="BL142"/>
  <c r="BM38"/>
  <c r="G197" i="3"/>
  <c r="BL122" i="2"/>
  <c r="G193" i="3"/>
  <c r="BL85" i="2"/>
  <c r="G133" i="3"/>
  <c r="G64"/>
  <c r="G173"/>
  <c r="G47"/>
  <c r="G48"/>
  <c r="G21"/>
  <c r="BL14" i="2"/>
  <c r="BM96"/>
  <c r="G16" i="3"/>
  <c r="BM29" i="2"/>
  <c r="G153" i="3"/>
  <c r="BL48" i="2"/>
  <c r="BL150"/>
  <c r="BL137"/>
  <c r="G137" i="3"/>
  <c r="BM47" i="2"/>
  <c r="BL149"/>
  <c r="BM80"/>
  <c r="G110" i="3"/>
  <c r="BL73" i="2"/>
  <c r="BL34"/>
  <c r="G168" i="3"/>
  <c r="G152"/>
  <c r="G62"/>
  <c r="BL96" i="2"/>
  <c r="BL106"/>
  <c r="G56" i="3"/>
  <c r="G100"/>
  <c r="G163"/>
  <c r="BM121" i="2"/>
  <c r="G131" i="3"/>
  <c r="BL45" i="2"/>
  <c r="BM89"/>
  <c r="G117" i="3"/>
  <c r="BM150" i="2"/>
  <c r="G68" i="3"/>
  <c r="G58"/>
  <c r="BM57" i="2"/>
  <c r="G149" i="3"/>
  <c r="G111"/>
  <c r="G107"/>
  <c r="BM27" i="2"/>
  <c r="BL125"/>
  <c r="BL27"/>
  <c r="G179" i="3"/>
  <c r="BL6" i="2"/>
  <c r="BM84"/>
  <c r="G4" i="3"/>
  <c r="BL44" i="2"/>
  <c r="BL113"/>
  <c r="G63" i="3"/>
  <c r="G9"/>
  <c r="G121"/>
  <c r="BM149" i="2"/>
  <c r="G113" i="3"/>
  <c r="BL28" i="2"/>
  <c r="BM63"/>
  <c r="BM130"/>
  <c r="BL42"/>
  <c r="G192" i="3"/>
  <c r="BM87" i="2"/>
  <c r="G178" i="3"/>
  <c r="G86"/>
  <c r="G164"/>
  <c r="G116"/>
  <c r="BM42" i="2"/>
  <c r="BL18"/>
  <c r="G159" i="3"/>
  <c r="BM11" i="2"/>
  <c r="G141" i="3"/>
  <c r="G3"/>
  <c r="BL136" i="2"/>
  <c r="BM137"/>
  <c r="G99" i="3"/>
  <c r="BL102" i="2"/>
  <c r="BL82"/>
  <c r="BM140"/>
  <c r="BM22"/>
  <c r="G138" i="3"/>
  <c r="BL61" i="2"/>
  <c r="BM133"/>
  <c r="BM4"/>
  <c r="BL105"/>
  <c r="BM17"/>
  <c r="BL111"/>
  <c r="G97" i="3"/>
  <c r="BM9" i="2"/>
  <c r="G181" i="3"/>
  <c r="X23" i="1" s="1"/>
  <c r="BM60" i="2"/>
  <c r="BM72"/>
  <c r="BL84"/>
  <c r="BL89"/>
  <c r="G55" i="3"/>
  <c r="G140"/>
  <c r="G85"/>
  <c r="G13"/>
  <c r="G77"/>
  <c r="BL139" i="2"/>
  <c r="G128" i="3"/>
  <c r="BM101" i="2"/>
  <c r="BL103"/>
  <c r="G93" i="3"/>
  <c r="BM19" i="2"/>
  <c r="BM122"/>
  <c r="BL114"/>
  <c r="G166" i="3"/>
  <c r="BL25" i="2"/>
  <c r="BL99"/>
  <c r="BL24"/>
  <c r="G34" i="3"/>
  <c r="BM43" i="2"/>
  <c r="BM123"/>
  <c r="BM25"/>
  <c r="G54" i="3"/>
  <c r="G2"/>
  <c r="BL129" i="2"/>
  <c r="BM114"/>
  <c r="G35" i="3"/>
  <c r="BL140" i="2"/>
  <c r="BM125"/>
  <c r="BL43"/>
  <c r="BL9"/>
  <c r="BM108"/>
  <c r="BM24"/>
  <c r="BM115"/>
  <c r="BM102"/>
  <c r="G154" i="3"/>
  <c r="G59"/>
  <c r="G172"/>
  <c r="BM62" i="2"/>
  <c r="G162" i="3"/>
  <c r="G46"/>
  <c r="G143"/>
  <c r="BM56" i="2"/>
  <c r="G118" i="3"/>
  <c r="BL153" i="2"/>
  <c r="G126" i="3"/>
  <c r="BL112" i="2"/>
  <c r="BM134"/>
  <c r="BM18"/>
  <c r="G186" i="3"/>
  <c r="BL127" i="2"/>
  <c r="BM107"/>
  <c r="G61" i="3"/>
  <c r="BM116" i="2"/>
  <c r="G17" i="3"/>
  <c r="BM44" i="2"/>
  <c r="BM117"/>
  <c r="G114" i="3"/>
  <c r="BL57" i="2"/>
  <c r="G167" i="3"/>
  <c r="G20"/>
  <c r="G94"/>
  <c r="G169"/>
  <c r="BL49" i="2"/>
  <c r="BM46"/>
  <c r="BL36"/>
  <c r="BL40"/>
  <c r="G92" i="3"/>
  <c r="BL109" i="2"/>
  <c r="BL86"/>
  <c r="BL41"/>
  <c r="G190" i="3"/>
  <c r="G127"/>
  <c r="BL10" i="2"/>
  <c r="BL62"/>
  <c r="G151" i="3"/>
  <c r="BL11" i="2"/>
  <c r="G51" i="3"/>
  <c r="BL74" i="2"/>
  <c r="G84" i="3"/>
  <c r="BM75" i="2"/>
  <c r="G79" i="3"/>
  <c r="G28"/>
  <c r="BM59" i="2"/>
  <c r="BM135"/>
  <c r="BL101"/>
  <c r="BM49"/>
  <c r="BL131"/>
  <c r="G119" i="3"/>
  <c r="G139"/>
  <c r="G136"/>
  <c r="BM35" i="2"/>
  <c r="G65" i="3"/>
  <c r="G120"/>
  <c r="BL15" i="2"/>
  <c r="G27" i="3"/>
  <c r="BM139" i="2"/>
  <c r="G49" i="3"/>
  <c r="BM95" i="2"/>
  <c r="G101" i="3"/>
  <c r="BM118" i="2"/>
  <c r="G50" i="3"/>
  <c r="BM104" i="2"/>
  <c r="BM99"/>
  <c r="BL108"/>
  <c r="G108" i="3"/>
  <c r="BL17" i="2"/>
  <c r="G60" i="3"/>
  <c r="BM61" i="2"/>
  <c r="BM58"/>
  <c r="G57" i="3"/>
  <c r="BM103" i="2"/>
  <c r="G194" i="3"/>
  <c r="BL30" i="2"/>
  <c r="BM113"/>
  <c r="G52" i="3"/>
  <c r="BM6" i="2"/>
  <c r="BL38"/>
  <c r="G67" i="3"/>
  <c r="BM112" i="2"/>
  <c r="BL7"/>
  <c r="G161" i="3"/>
  <c r="G165"/>
  <c r="BL98" i="2"/>
  <c r="G195" i="3"/>
  <c r="G177"/>
  <c r="BM14" i="2"/>
  <c r="G112" i="3"/>
  <c r="G80"/>
  <c r="BL87" i="2"/>
  <c r="G12" i="3"/>
  <c r="BM151" i="2"/>
  <c r="C17" i="7" l="1"/>
  <c r="X22" i="1"/>
  <c r="E16"/>
  <c r="X24"/>
  <c r="X20"/>
  <c r="BL2" i="2"/>
  <c r="D21" i="7" l="1"/>
  <c r="D22" s="1"/>
  <c r="H23" s="1"/>
  <c r="BE1" i="1" s="1"/>
  <c r="BE2" s="1"/>
  <c r="M23" l="1"/>
  <c r="M20"/>
  <c r="M24"/>
  <c r="M22"/>
  <c r="M21"/>
  <c r="R19"/>
  <c r="S20" l="1"/>
  <c r="U19"/>
  <c r="O19"/>
  <c r="P25" s="1"/>
  <c r="P21" l="1"/>
  <c r="P24"/>
  <c r="P23"/>
  <c r="P22"/>
  <c r="P20"/>
  <c r="C68" i="2"/>
  <c r="E68" l="1"/>
  <c r="D68"/>
  <c r="H68" l="1"/>
  <c r="J68"/>
  <c r="F68"/>
  <c r="G68" s="1"/>
  <c r="I68" l="1"/>
  <c r="AI15" i="1" s="1"/>
  <c r="AH15" l="1"/>
  <c r="AC17"/>
  <c r="AH17"/>
  <c r="AE14"/>
  <c r="AD18"/>
  <c r="AI18"/>
  <c r="AI21" l="1"/>
  <c r="AD21"/>
</calcChain>
</file>

<file path=xl/comments1.xml><?xml version="1.0" encoding="utf-8"?>
<comments xmlns="http://schemas.openxmlformats.org/spreadsheetml/2006/main">
  <authors>
    <author>Anyu</author>
    <author>Czitler Sándor</author>
    <author>simon.janos</author>
    <author>Simon János</author>
  </authors>
  <commentList>
    <comment ref="F3" authorId="0">
      <text>
        <r>
          <rPr>
            <b/>
            <i/>
            <sz val="9"/>
            <color indexed="81"/>
            <rFont val="Book Antiqua"/>
            <family val="1"/>
            <charset val="238"/>
          </rPr>
          <t>A halvány zöld mezők kitöltésével készítheted el a karaktert.
A kaszt kiválasztásával a képességek értékei automatikusan kitöltésre kerülnek!
A faj kiválasztásával a faji módosítók hozáadódnak/levonódnak!
Ebben az oszlopban korrigálhatod az átlagos értékeket.
A mező piros lesz, ha a tulajdonság nem éri el többes kaszt esetén a dobás szerinti minimumot!</t>
        </r>
      </text>
    </comment>
    <comment ref="G3" authorId="1">
      <text>
        <r>
          <rPr>
            <b/>
            <i/>
            <sz val="9"/>
            <color indexed="81"/>
            <rFont val="Book Antiqua"/>
            <family val="1"/>
            <charset val="238"/>
          </rPr>
          <t>A mező háttere piros lesz, ha túllépted a faji maximumot vagy minimumot!</t>
        </r>
      </text>
    </comment>
    <comment ref="P3" authorId="0">
      <text>
        <r>
          <rPr>
            <b/>
            <i/>
            <sz val="9"/>
            <color rgb="FF000000"/>
            <rFont val="Book Antiqua"/>
            <family val="1"/>
            <charset val="238"/>
          </rPr>
          <t>Amennyiben váltott, vagy iker kasztot szeretnél, ide írd be a másodiknak felvett kasztodat.</t>
        </r>
      </text>
    </comment>
    <comment ref="Y3" authorId="0">
      <text>
        <r>
          <rPr>
            <b/>
            <i/>
            <sz val="9"/>
            <color indexed="81"/>
            <rFont val="Book Antiqua"/>
            <family val="1"/>
            <charset val="238"/>
          </rPr>
          <t>Írd be a kaszt szintjét. Váltott kaszt esetén az aktuális, tehát a három szinttel csökkentett értéket írd ide. Speciális vál-tásnál (pl. Doldzsah pap), a két kaszt összesített szintjét kell megadni.</t>
        </r>
      </text>
    </comment>
    <comment ref="BJ3" authorId="2">
      <text>
        <r>
          <rPr>
            <b/>
            <i/>
            <sz val="9"/>
            <color indexed="81"/>
            <rFont val="Book Antiqua"/>
            <family val="1"/>
            <charset val="238"/>
          </rPr>
          <t>A felszerelés ára ezüstben megadva.</t>
        </r>
      </text>
    </comment>
    <comment ref="BM3" authorId="2">
      <text>
        <r>
          <rPr>
            <b/>
            <i/>
            <sz val="9"/>
            <color indexed="81"/>
            <rFont val="Book Antiqua"/>
            <family val="1"/>
            <charset val="238"/>
          </rPr>
          <t>A felszerelés ára ezüstben megadva.</t>
        </r>
      </text>
    </comment>
    <comment ref="P4" authorId="0">
      <text>
        <r>
          <rPr>
            <b/>
            <i/>
            <sz val="9"/>
            <color rgb="FF000000"/>
            <rFont val="Book Antiqua"/>
            <family val="1"/>
            <charset val="238"/>
          </rPr>
          <t>Amennyiben váltott, vagy iker kasztot szeretnél, ide írd be a másodiknak felvett kasztodat.</t>
        </r>
      </text>
    </comment>
    <comment ref="Y4" authorId="0">
      <text>
        <r>
          <rPr>
            <b/>
            <i/>
            <sz val="9"/>
            <color indexed="81"/>
            <rFont val="Book Antiqua"/>
            <family val="1"/>
            <charset val="238"/>
          </rPr>
          <t xml:space="preserve">Írd be a kaszt szintjét. </t>
        </r>
      </text>
    </comment>
    <comment ref="P5" authorId="0">
      <text>
        <r>
          <rPr>
            <b/>
            <i/>
            <sz val="9"/>
            <color indexed="81"/>
            <rFont val="Book Antiqua"/>
            <family val="1"/>
            <charset val="238"/>
          </rPr>
          <t>Válaszd ki a helyes értéket a listából.</t>
        </r>
      </text>
    </comment>
    <comment ref="X5" authorId="0">
      <text>
        <r>
          <rPr>
            <b/>
            <i/>
            <sz val="9"/>
            <color indexed="81"/>
            <rFont val="Book Antiqua"/>
            <family val="1"/>
            <charset val="238"/>
          </rPr>
          <t>Válaszd ki a helyes értéket a listából.</t>
        </r>
      </text>
    </comment>
    <comment ref="P6" authorId="0">
      <text>
        <r>
          <rPr>
            <b/>
            <i/>
            <sz val="9"/>
            <color rgb="FF000000"/>
            <rFont val="Book Antiqua"/>
            <family val="1"/>
            <charset val="238"/>
          </rPr>
          <t>Ikerkasztnál: az első hányadik szintjén került felvételre a második kaszt.
Váltott kasztnál: az első kaszt szintje +3.</t>
        </r>
      </text>
    </comment>
    <comment ref="X6" authorId="0">
      <text>
        <r>
          <rPr>
            <b/>
            <i/>
            <sz val="9"/>
            <color indexed="81"/>
            <rFont val="Book Antiqua"/>
            <family val="1"/>
            <charset val="238"/>
          </rPr>
          <t>Válaszd ki a helyes értéket a listából.</t>
        </r>
      </text>
    </comment>
    <comment ref="S14" authorId="0">
      <text>
        <r>
          <rPr>
            <b/>
            <sz val="9"/>
            <color indexed="81"/>
            <rFont val="Tahoma"/>
            <family val="2"/>
          </rPr>
          <t>Válaszd ki, hogy van-e nehézvértviselet Mf-ed</t>
        </r>
      </text>
    </comment>
    <comment ref="A15" authorId="1">
      <text>
        <r>
          <rPr>
            <sz val="9"/>
            <color indexed="81"/>
            <rFont val="Book Antiqua"/>
            <family val="1"/>
            <charset val="238"/>
          </rPr>
          <t>Ikerkasztnál, a harci érték számításához választott kaszt, egyébként üres.</t>
        </r>
      </text>
    </comment>
    <comment ref="A20" authorId="3">
      <text>
        <r>
          <rPr>
            <b/>
            <sz val="9"/>
            <color indexed="81"/>
            <rFont val="Tahoma"/>
            <family val="2"/>
          </rPr>
          <t>Válassz a listából!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3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3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35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A36" authorId="3">
      <text>
        <r>
          <rPr>
            <b/>
            <sz val="9"/>
            <color indexed="81"/>
            <rFont val="Tahoma"/>
            <family val="2"/>
          </rPr>
          <t xml:space="preserve">Válassz a listából!
</t>
        </r>
        <r>
          <rPr>
            <sz val="9"/>
            <color indexed="81"/>
            <rFont val="Tahoma"/>
            <family val="2"/>
            <charset val="238"/>
          </rPr>
          <t>A gorviki egyel alacsonyabb szintű shadoni nyelvtudást is jelent, és fordítva.
Hasonlóan az Ilanori - Yllinori, és a Pyarroni - Közös nyelvekkel.</t>
        </r>
      </text>
    </comment>
    <comment ref="AA37" authorId="3">
      <text>
        <r>
          <rPr>
            <b/>
            <sz val="9"/>
            <color indexed="81"/>
            <rFont val="Tahoma"/>
            <family val="2"/>
          </rPr>
          <t xml:space="preserve">Válassz a listából!
</t>
        </r>
        <r>
          <rPr>
            <sz val="9"/>
            <color indexed="81"/>
            <rFont val="Tahoma"/>
            <family val="2"/>
            <charset val="238"/>
          </rPr>
          <t>A gorviki egyel alacsonyabb szintű shadoni nyelvtudást is jelent, és fordítva.
Hasonlóan az Ilanori - Yllinori, és a Pyarroni - Közös nyelvekkel.</t>
        </r>
      </text>
    </comment>
    <comment ref="AH43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sharedStrings.xml><?xml version="1.0" encoding="utf-8"?>
<sst xmlns="http://schemas.openxmlformats.org/spreadsheetml/2006/main" count="4759" uniqueCount="1274">
  <si>
    <t>Játékos neve:</t>
  </si>
  <si>
    <t>Tulajdonság átlag:</t>
  </si>
  <si>
    <t>Karakter neve:</t>
  </si>
  <si>
    <t>Faj:</t>
  </si>
  <si>
    <t>Jellem:</t>
  </si>
  <si>
    <t>Vallás:</t>
  </si>
  <si>
    <t>Szülőföld:</t>
  </si>
  <si>
    <t>Iskola:</t>
  </si>
  <si>
    <t>Kaszt (első):</t>
  </si>
  <si>
    <t>Kaszt (második):</t>
  </si>
  <si>
    <t>Pszi:</t>
  </si>
  <si>
    <t>Szint:</t>
  </si>
  <si>
    <t>Iker/váltott kaszt:</t>
  </si>
  <si>
    <t>Tulajdonság átlag</t>
  </si>
  <si>
    <t>Mágia:</t>
  </si>
  <si>
    <t>Eldöntendő legördülő</t>
  </si>
  <si>
    <t>Van</t>
  </si>
  <si>
    <t>Nincs</t>
  </si>
  <si>
    <t>Pszi Tp költség:</t>
  </si>
  <si>
    <t>Mágia Tp költség:</t>
  </si>
  <si>
    <t>Iker/ váltott kaszt</t>
  </si>
  <si>
    <t>Iker kaszt</t>
  </si>
  <si>
    <t>Váltott kaszt</t>
  </si>
  <si>
    <t>Kaszt választás és szintjének Tp költsége</t>
  </si>
  <si>
    <t>Gladiátor</t>
  </si>
  <si>
    <t>Fejvadász</t>
  </si>
  <si>
    <t>Lovag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</si>
  <si>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</si>
  <si>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</si>
  <si>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</si>
  <si>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</si>
  <si>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</si>
  <si>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</si>
  <si>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</si>
  <si>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</si>
  <si>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</si>
  <si>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Tolvaj</t>
  </si>
  <si>
    <t>Bárd</t>
  </si>
  <si>
    <t>Pap</t>
  </si>
  <si>
    <t>Paplovag</t>
  </si>
  <si>
    <t>Harcművész</t>
  </si>
  <si>
    <t>Kardművész</t>
  </si>
  <si>
    <t>Boszorkány</t>
  </si>
  <si>
    <t>Boszorkánymester</t>
  </si>
  <si>
    <t>Tűzvarázsló</t>
  </si>
  <si>
    <t>Váltás kezdete:</t>
  </si>
  <si>
    <t>Csapat neve:</t>
  </si>
  <si>
    <t>KÉ</t>
  </si>
  <si>
    <t>TÉ</t>
  </si>
  <si>
    <t>VÉ</t>
  </si>
  <si>
    <t>CÉ</t>
  </si>
  <si>
    <t>HM</t>
  </si>
  <si>
    <t>Kp alap</t>
  </si>
  <si>
    <t>Kp/szint</t>
  </si>
  <si>
    <t>ÉP alap</t>
  </si>
  <si>
    <t>FP alap</t>
  </si>
  <si>
    <t>FP/ szint</t>
  </si>
  <si>
    <t>Pszi típusa</t>
  </si>
  <si>
    <t>K6 dobás mennyi?</t>
  </si>
  <si>
    <t>Mp</t>
  </si>
  <si>
    <t>Páncél:</t>
  </si>
  <si>
    <t>Anyaga:</t>
  </si>
  <si>
    <t>SFÉ:</t>
  </si>
  <si>
    <t>MGT:</t>
  </si>
  <si>
    <t>Mesterfokú nehézvértviselet:</t>
  </si>
  <si>
    <t>Pszi iskola</t>
  </si>
  <si>
    <t>Fp:</t>
  </si>
  <si>
    <t>Kor:</t>
  </si>
  <si>
    <t>Magasság:</t>
  </si>
  <si>
    <t>Súly:</t>
  </si>
  <si>
    <t>Hajszín:</t>
  </si>
  <si>
    <t>Szemszín:</t>
  </si>
  <si>
    <t>Asztrális</t>
  </si>
  <si>
    <t>Mentális</t>
  </si>
  <si>
    <t>TME:</t>
  </si>
  <si>
    <t>Egyéb:</t>
  </si>
  <si>
    <t>Teljes:</t>
  </si>
  <si>
    <t>Melyik kaszt számít:</t>
  </si>
  <si>
    <t>Sebzés</t>
  </si>
  <si>
    <t>Fegyver nélkül</t>
  </si>
  <si>
    <t>Ennyi Kp átalakítása % -ra:</t>
  </si>
  <si>
    <t>Elkölthető százalék:</t>
  </si>
  <si>
    <t>%/szint</t>
  </si>
  <si>
    <t>Mászás</t>
  </si>
  <si>
    <t>Esés</t>
  </si>
  <si>
    <t>Ugrás</t>
  </si>
  <si>
    <t>Lopózás</t>
  </si>
  <si>
    <t>Rejtőzködés</t>
  </si>
  <si>
    <t>Kötéltánc</t>
  </si>
  <si>
    <t>Zsebmetszés</t>
  </si>
  <si>
    <t>Csapdafelfedezés</t>
  </si>
  <si>
    <t>Zárnyitás</t>
  </si>
  <si>
    <t>Titkosajtó keresés</t>
  </si>
  <si>
    <t>Kp</t>
  </si>
  <si>
    <t>Fok</t>
  </si>
  <si>
    <t>Harci képzettségek</t>
  </si>
  <si>
    <t>Tudományos képz.</t>
  </si>
  <si>
    <t>Slan-út</t>
  </si>
  <si>
    <t>Kyr metódus</t>
  </si>
  <si>
    <t>13+</t>
  </si>
  <si>
    <t>Iker Tp</t>
  </si>
  <si>
    <t>Felszerelés megnevezése</t>
  </si>
  <si>
    <t>Dervis</t>
  </si>
  <si>
    <t>Amazon</t>
  </si>
  <si>
    <t>Barbár</t>
  </si>
  <si>
    <t>Hadzsi</t>
  </si>
  <si>
    <t>Bahrada</t>
  </si>
  <si>
    <t>Egyedi</t>
  </si>
  <si>
    <t>Szerzetes</t>
  </si>
  <si>
    <t>Főnix</t>
  </si>
  <si>
    <t>Tám/kör</t>
  </si>
  <si>
    <t>Váltott kaszt esetén a második kaszt ennyi szintje - a harcértékben - nem számít:</t>
  </si>
  <si>
    <t>erő</t>
  </si>
  <si>
    <t>gyorsaság</t>
  </si>
  <si>
    <t>ügyesség</t>
  </si>
  <si>
    <t>állóképesség</t>
  </si>
  <si>
    <t>egészség</t>
  </si>
  <si>
    <t>szépség</t>
  </si>
  <si>
    <t>intelligencia</t>
  </si>
  <si>
    <t>akaraterő</t>
  </si>
  <si>
    <t>asztrál</t>
  </si>
  <si>
    <t>érzékelés</t>
  </si>
  <si>
    <t>Választható fajok</t>
  </si>
  <si>
    <t>Faji módosítók</t>
  </si>
  <si>
    <t>Plusz képesség költség:</t>
  </si>
  <si>
    <t>Kf többlet költség:</t>
  </si>
  <si>
    <t>KF többlet</t>
  </si>
  <si>
    <t>3k6-1</t>
  </si>
  <si>
    <t>3k6</t>
  </si>
  <si>
    <t>3k6(2x)</t>
  </si>
  <si>
    <t>k10+6</t>
  </si>
  <si>
    <t>2k6+6</t>
  </si>
  <si>
    <t>k10+8</t>
  </si>
  <si>
    <t>k10+8(2x)</t>
  </si>
  <si>
    <t>k6+12</t>
  </si>
  <si>
    <t>k10+10</t>
  </si>
  <si>
    <t>k6+14</t>
  </si>
  <si>
    <t>Dobáskódok értéke</t>
  </si>
  <si>
    <t>Elkölthető Képzettségpont:</t>
  </si>
  <si>
    <t>T/k</t>
  </si>
  <si>
    <t>e16fr</t>
  </si>
  <si>
    <t>1</t>
  </si>
  <si>
    <t>2</t>
  </si>
  <si>
    <t>5</t>
  </si>
  <si>
    <t>8</t>
  </si>
  <si>
    <t>Ranagol-papok kése</t>
  </si>
  <si>
    <t>6e</t>
  </si>
  <si>
    <t>Orwella-papnők görbe, kétélű kése</t>
  </si>
  <si>
    <t>5e</t>
  </si>
  <si>
    <t>-</t>
  </si>
  <si>
    <t>1 gió</t>
  </si>
  <si>
    <t>6</t>
  </si>
  <si>
    <t>e14fr</t>
  </si>
  <si>
    <t>2a</t>
  </si>
  <si>
    <t>5 me</t>
  </si>
  <si>
    <t>enoszukei fakard</t>
  </si>
  <si>
    <t>3</t>
  </si>
  <si>
    <t>nem kapható</t>
  </si>
  <si>
    <t>7</t>
  </si>
  <si>
    <t>4</t>
  </si>
  <si>
    <t>3a</t>
  </si>
  <si>
    <t>kráni elf kard</t>
  </si>
  <si>
    <t>3-6</t>
  </si>
  <si>
    <t>1,5</t>
  </si>
  <si>
    <t>kettősívű dzsad kard</t>
  </si>
  <si>
    <t>elf kard</t>
  </si>
  <si>
    <t>amund kard</t>
  </si>
  <si>
    <t>15 me</t>
  </si>
  <si>
    <t>enoszukei tőr</t>
  </si>
  <si>
    <t>9</t>
  </si>
  <si>
    <t>3e</t>
  </si>
  <si>
    <t>enoszukei rövidkard</t>
  </si>
  <si>
    <t>enuszukei hosszúkard</t>
  </si>
  <si>
    <t>vívótőr</t>
  </si>
  <si>
    <t>1-2</t>
  </si>
  <si>
    <t>abasziszi pillum</t>
  </si>
  <si>
    <t>4 me</t>
  </si>
  <si>
    <t>enoszukei hajítódárda</t>
  </si>
  <si>
    <t>usinó</t>
  </si>
  <si>
    <t>enoszukei kétkezes csatabárd</t>
  </si>
  <si>
    <t>4 gió</t>
  </si>
  <si>
    <t>enoszukei harci gereblye</t>
  </si>
  <si>
    <t>enoszukei szöges bunkó</t>
  </si>
  <si>
    <t>2 me</t>
  </si>
  <si>
    <t>enoszukei hosszú bot</t>
  </si>
  <si>
    <t>1,5 me</t>
  </si>
  <si>
    <t>enoszukei közepes bot</t>
  </si>
  <si>
    <t>enoszukei rövid bot</t>
  </si>
  <si>
    <t>enoszukei bambuszlándzsa</t>
  </si>
  <si>
    <t>enoszukei nehéz lándzsakard</t>
  </si>
  <si>
    <t>3+2</t>
  </si>
  <si>
    <t>kéthegyű "lándzsa"</t>
  </si>
  <si>
    <t>felföldi alabárd, pengényi, kampós bárdpengével</t>
  </si>
  <si>
    <t>6 gió</t>
  </si>
  <si>
    <t>enoszukei lándzsakard</t>
  </si>
  <si>
    <t>8 me</t>
  </si>
  <si>
    <t>2-3</t>
  </si>
  <si>
    <t xml:space="preserve">enoszukei lándzsa </t>
  </si>
  <si>
    <t>2-5</t>
  </si>
  <si>
    <t>déli városállamok két fogas lándzsája</t>
  </si>
  <si>
    <t>toroni "nyárs"hegy, körlappal</t>
  </si>
  <si>
    <t>nyárshegyű, félholdfogú partizán</t>
  </si>
  <si>
    <t>50 ban</t>
  </si>
  <si>
    <t>enoszukei mászókarmok</t>
  </si>
  <si>
    <t>nem.kaph.</t>
  </si>
  <si>
    <t>enoszukei láncos sarló</t>
  </si>
  <si>
    <t>enoszukei varázslóbot</t>
  </si>
  <si>
    <t>enoszukei holdsarló</t>
  </si>
  <si>
    <t>enoszukei háromrészes bot</t>
  </si>
  <si>
    <t>enoszukei kétrészes bot</t>
  </si>
  <si>
    <t>enoszukei sarlókés</t>
  </si>
  <si>
    <t>enoszukei tonfa</t>
  </si>
  <si>
    <t>enoszukei harci kesztyű</t>
  </si>
  <si>
    <t>enoszukei ninjakard</t>
  </si>
  <si>
    <t>enoszukei sai</t>
  </si>
  <si>
    <t>tű</t>
  </si>
  <si>
    <t>parittyaíj</t>
  </si>
  <si>
    <t>enoszukei íj</t>
  </si>
  <si>
    <t>enoszukei fúvócső</t>
  </si>
  <si>
    <t>enoszukei (niarei) nyílpuska</t>
  </si>
  <si>
    <t>12</t>
  </si>
  <si>
    <t>2, -</t>
  </si>
  <si>
    <t>íjász fedezék</t>
  </si>
  <si>
    <t>1 e</t>
  </si>
  <si>
    <t>8 e</t>
  </si>
  <si>
    <t>3K6+2</t>
  </si>
  <si>
    <t>Nyelvtudások</t>
  </si>
  <si>
    <t>Nyelvek</t>
  </si>
  <si>
    <t>Ősi nyelvek</t>
  </si>
  <si>
    <t>yllinori</t>
  </si>
  <si>
    <t>(ó)kyr</t>
  </si>
  <si>
    <t>erv</t>
  </si>
  <si>
    <t>toroni</t>
  </si>
  <si>
    <t>közös</t>
  </si>
  <si>
    <t>aszisz</t>
  </si>
  <si>
    <t>dwoon</t>
  </si>
  <si>
    <t>enoszukei</t>
  </si>
  <si>
    <t>ilanori</t>
  </si>
  <si>
    <t>korg</t>
  </si>
  <si>
    <t>niarei</t>
  </si>
  <si>
    <t>dzsad</t>
  </si>
  <si>
    <t>gorviki</t>
  </si>
  <si>
    <t>hyunghaj</t>
  </si>
  <si>
    <t>kráni</t>
  </si>
  <si>
    <t>pyarroni</t>
  </si>
  <si>
    <t>shadoni</t>
  </si>
  <si>
    <t>elf</t>
  </si>
  <si>
    <t>gnóm</t>
  </si>
  <si>
    <t>goblin</t>
  </si>
  <si>
    <t>khál</t>
  </si>
  <si>
    <t>ork</t>
  </si>
  <si>
    <t>amund</t>
  </si>
  <si>
    <t>aquir</t>
  </si>
  <si>
    <t>crantai</t>
  </si>
  <si>
    <t>démon</t>
  </si>
  <si>
    <t>dzsenn</t>
  </si>
  <si>
    <t>godoni</t>
  </si>
  <si>
    <t>híl (ó-törpe)</t>
  </si>
  <si>
    <t>ó-dwoon</t>
  </si>
  <si>
    <t>ó-elf</t>
  </si>
  <si>
    <t>lingua domini</t>
  </si>
  <si>
    <t>faji max meghat:</t>
  </si>
  <si>
    <t>kf</t>
  </si>
  <si>
    <t>Faji maximumok</t>
  </si>
  <si>
    <t>3k6(2X)</t>
  </si>
  <si>
    <t>faji min meghat:</t>
  </si>
  <si>
    <t>Varázsló</t>
  </si>
  <si>
    <t>Állóképesség</t>
  </si>
  <si>
    <t>Ügyesség</t>
  </si>
  <si>
    <t>Gyorsaság</t>
  </si>
  <si>
    <t>Erő</t>
  </si>
  <si>
    <t>Egészség</t>
  </si>
  <si>
    <t>Szépség</t>
  </si>
  <si>
    <t>Intelligencia</t>
  </si>
  <si>
    <t>Akaraterő</t>
  </si>
  <si>
    <t>Asztrál</t>
  </si>
  <si>
    <t>Érzékelés</t>
  </si>
  <si>
    <t>ember</t>
  </si>
  <si>
    <t>félelf</t>
  </si>
  <si>
    <t>udvari ork</t>
  </si>
  <si>
    <t>törpe</t>
  </si>
  <si>
    <t>wier</t>
  </si>
  <si>
    <t>kezdő pont</t>
  </si>
  <si>
    <t>Abasziszi Falanxharcos</t>
  </si>
  <si>
    <t>Adron pap</t>
  </si>
  <si>
    <t>Antoh pap</t>
  </si>
  <si>
    <t>Birodalmi zsoldosok</t>
  </si>
  <si>
    <t>Darton pap</t>
  </si>
  <si>
    <t>Darton paplovag</t>
  </si>
  <si>
    <t>Della pap</t>
  </si>
  <si>
    <t>Domvik bosz.vadász</t>
  </si>
  <si>
    <t>Domvik pap</t>
  </si>
  <si>
    <t>Domvik paplovag</t>
  </si>
  <si>
    <t>Dreina paplovag</t>
  </si>
  <si>
    <t>Dwoon Fehér lovas</t>
  </si>
  <si>
    <t>Dwoon Vértes gyalogos</t>
  </si>
  <si>
    <t>Dzsah pap</t>
  </si>
  <si>
    <t>Edorli Gyalogos</t>
  </si>
  <si>
    <t>Ellana papnő</t>
  </si>
  <si>
    <t>Ereni Kékköpenyes</t>
  </si>
  <si>
    <t>Erigowi Íjász</t>
  </si>
  <si>
    <t>Erigowi Szabad Lovas</t>
  </si>
  <si>
    <t>Erigowi Talpas</t>
  </si>
  <si>
    <t>Fény Ösvénye</t>
  </si>
  <si>
    <t>Galradzsa pap</t>
  </si>
  <si>
    <t>Gianagi Alabárdos</t>
  </si>
  <si>
    <t>Gorvik Szabad harcos</t>
  </si>
  <si>
    <t>Gorvik Tengeri vadász</t>
  </si>
  <si>
    <t>Haonwell Alborne Csill.</t>
  </si>
  <si>
    <t>Haonwell Nerton</t>
  </si>
  <si>
    <t>Harcos tengerészek</t>
  </si>
  <si>
    <t>Ilanori Vágtató</t>
  </si>
  <si>
    <t>Kadal pap</t>
  </si>
  <si>
    <t>Krad pap</t>
  </si>
  <si>
    <t>Krad paplovag</t>
  </si>
  <si>
    <t>Kráni Szabados</t>
  </si>
  <si>
    <t>Kyel pap</t>
  </si>
  <si>
    <t>Nasti könnyűlovas</t>
  </si>
  <si>
    <t>Nomád sámán</t>
  </si>
  <si>
    <t>Ordani lángőr</t>
  </si>
  <si>
    <t>Orwella paplovag</t>
  </si>
  <si>
    <t>Praedarmon Lobogói</t>
  </si>
  <si>
    <t>Predoci Vértes</t>
  </si>
  <si>
    <t>Pusztító Tűz Útja</t>
  </si>
  <si>
    <t>Rackla lovas</t>
  </si>
  <si>
    <t>Ranagol pap</t>
  </si>
  <si>
    <t>Ranagol paplovag</t>
  </si>
  <si>
    <t>Ranil pap</t>
  </si>
  <si>
    <t>Ranil paplovag</t>
  </si>
  <si>
    <t>Sirenari Erdőjáró</t>
  </si>
  <si>
    <t>Sorgon Útja</t>
  </si>
  <si>
    <t>Syburri Vértesgyalogos</t>
  </si>
  <si>
    <t>Tiadlani Kardmester</t>
  </si>
  <si>
    <t>Tooma pap</t>
  </si>
  <si>
    <t>Toroni Elitharcos</t>
  </si>
  <si>
    <t>Toroni Ezüstkard Bajnok</t>
  </si>
  <si>
    <t>Yllinori Kopjás Farkas</t>
  </si>
  <si>
    <t>Yllinori Medve</t>
  </si>
  <si>
    <t>Yllinori Sas</t>
  </si>
  <si>
    <t>Yllinori Sólyom</t>
  </si>
  <si>
    <t>Yllinori Vaslovas</t>
  </si>
  <si>
    <t>össz. eltérés</t>
  </si>
  <si>
    <t>faj</t>
  </si>
  <si>
    <t>min.</t>
  </si>
  <si>
    <t>max.</t>
  </si>
  <si>
    <t>Tulajdonságok</t>
  </si>
  <si>
    <t>Bőr:</t>
  </si>
  <si>
    <t>kaszt Tp</t>
  </si>
  <si>
    <t>Zseb-metszés</t>
  </si>
  <si>
    <t>Rejtőz-ködés</t>
  </si>
  <si>
    <t>Csapda-felfedezés</t>
  </si>
  <si>
    <t>Hm min.  TÉ</t>
  </si>
  <si>
    <t>HM min. VÉ</t>
  </si>
  <si>
    <t>Arel pap (Sólyomcsőr)</t>
  </si>
  <si>
    <t>Arel pap (Sólyomkarom)</t>
  </si>
  <si>
    <t>Arel pap (Sólyomszív)</t>
  </si>
  <si>
    <t xml:space="preserve">Benignus szerzetes </t>
  </si>
  <si>
    <t xml:space="preserve">Pyarronita szerzetes </t>
  </si>
  <si>
    <t>Tharr pap (Khótorr)</t>
  </si>
  <si>
    <t>Tharr pap (Quessor)</t>
  </si>
  <si>
    <t>Tharr pap (Sanquinator)</t>
  </si>
  <si>
    <t>Sogron pap (Lángvihar)</t>
  </si>
  <si>
    <t>Bajvívó (Shadleki)</t>
  </si>
  <si>
    <t>Bajvívó (Aleggheri)</t>
  </si>
  <si>
    <t>Bajvívó (Den Aliud)</t>
  </si>
  <si>
    <t>Mf?</t>
  </si>
  <si>
    <t>Noir pap (Bálványtagadó)</t>
  </si>
  <si>
    <t>Noir pap (Befogadott)</t>
  </si>
  <si>
    <t>Törpe Harcos</t>
  </si>
  <si>
    <t>Gilron pap (Mérnök)</t>
  </si>
  <si>
    <t>Gilron pap (Segéd)</t>
  </si>
  <si>
    <t>Morgena pap (Angyal)</t>
  </si>
  <si>
    <t>Morgena pap (Farkas)</t>
  </si>
  <si>
    <t>(Al)világi képzettségek</t>
  </si>
  <si>
    <t>me.</t>
  </si>
  <si>
    <t>ár (e)</t>
  </si>
  <si>
    <t>érték (e)</t>
  </si>
  <si>
    <t>tárolóhely</t>
  </si>
  <si>
    <t>ezüst felhasználva.</t>
  </si>
  <si>
    <t>ezüst, ebből</t>
  </si>
  <si>
    <t>Kezdő vagyon a kalandban:</t>
  </si>
  <si>
    <t>Karakteralkotáskori vagyon:</t>
  </si>
  <si>
    <t>Nyelvtudások (ősi)</t>
  </si>
  <si>
    <t>vanír (törpe)</t>
  </si>
  <si>
    <t>agínkés</t>
  </si>
  <si>
    <t>áldozókés</t>
  </si>
  <si>
    <t>áldozótőr</t>
  </si>
  <si>
    <t>béltépő</t>
  </si>
  <si>
    <t>bojtos kard</t>
  </si>
  <si>
    <t>dokan</t>
  </si>
  <si>
    <t>dzsenn szablya</t>
  </si>
  <si>
    <t>egyeneskard</t>
  </si>
  <si>
    <t>fejvadászkard</t>
  </si>
  <si>
    <t>fogastőr</t>
  </si>
  <si>
    <t>handzsár</t>
  </si>
  <si>
    <t>hárítótőr</t>
  </si>
  <si>
    <t>háromágú hárítótőr</t>
  </si>
  <si>
    <t>hegyestőr</t>
  </si>
  <si>
    <t>hiequar</t>
  </si>
  <si>
    <t>horgaskard</t>
  </si>
  <si>
    <t>hosszúkard</t>
  </si>
  <si>
    <t>jatagán</t>
  </si>
  <si>
    <t>kagylóbontó</t>
  </si>
  <si>
    <t>kés</t>
  </si>
  <si>
    <t>khossas</t>
  </si>
  <si>
    <t>kígyókard</t>
  </si>
  <si>
    <t>lagoss</t>
  </si>
  <si>
    <t>lovagkard</t>
  </si>
  <si>
    <t>másfélkezes kard</t>
  </si>
  <si>
    <t>mendra</t>
  </si>
  <si>
    <t>meneth</t>
  </si>
  <si>
    <t>méregfog</t>
  </si>
  <si>
    <t>mesterkard</t>
  </si>
  <si>
    <t>nató</t>
  </si>
  <si>
    <t>niarei egyenes kard</t>
  </si>
  <si>
    <t>nódaisi</t>
  </si>
  <si>
    <t>nyílpuska szurony</t>
  </si>
  <si>
    <t>ököltőr</t>
  </si>
  <si>
    <t>pallos</t>
  </si>
  <si>
    <t>predoci egyeneskard</t>
  </si>
  <si>
    <t>pugoss</t>
  </si>
  <si>
    <t>ramiera</t>
  </si>
  <si>
    <t>rövidkard</t>
  </si>
  <si>
    <t>sai</t>
  </si>
  <si>
    <t>sarlókés</t>
  </si>
  <si>
    <t>sequor</t>
  </si>
  <si>
    <t>slan kard</t>
  </si>
  <si>
    <t>slan tőr</t>
  </si>
  <si>
    <t>sótó</t>
  </si>
  <si>
    <t>sryn-tőr</t>
  </si>
  <si>
    <t>szablya</t>
  </si>
  <si>
    <t>taitó</t>
  </si>
  <si>
    <t xml:space="preserve">tőr </t>
  </si>
  <si>
    <t>tőrkard</t>
  </si>
  <si>
    <t>triád</t>
  </si>
  <si>
    <t>bóla</t>
  </si>
  <si>
    <t>dobóháló</t>
  </si>
  <si>
    <t>dobótőr</t>
  </si>
  <si>
    <t>hajítóbárd</t>
  </si>
  <si>
    <t>hajítódárda</t>
  </si>
  <si>
    <t>lasszó</t>
  </si>
  <si>
    <t>paldium</t>
  </si>
  <si>
    <t>slan csillag</t>
  </si>
  <si>
    <t>uja</t>
  </si>
  <si>
    <t>acélkorbács</t>
  </si>
  <si>
    <t>csatacsákány</t>
  </si>
  <si>
    <t>csatacsillag</t>
  </si>
  <si>
    <t>cséphadaró</t>
  </si>
  <si>
    <t>egykezes buzogány</t>
  </si>
  <si>
    <t>egykezes csatabárd</t>
  </si>
  <si>
    <t>furkósbot</t>
  </si>
  <si>
    <t>hadijogar</t>
  </si>
  <si>
    <t>harci kalapács</t>
  </si>
  <si>
    <t>hosszúbot</t>
  </si>
  <si>
    <t>két-háromrészes bot</t>
  </si>
  <si>
    <t>kétkezes buzogány</t>
  </si>
  <si>
    <t>kétkezes csatabárd</t>
  </si>
  <si>
    <t>láncos buzogány</t>
  </si>
  <si>
    <t>nunchaku</t>
  </si>
  <si>
    <t>rövidbot</t>
  </si>
  <si>
    <t>shadleki buzogány</t>
  </si>
  <si>
    <t>tagló</t>
  </si>
  <si>
    <t>tollas buzogány</t>
  </si>
  <si>
    <t>tonfa</t>
  </si>
  <si>
    <t>tüskés balta</t>
  </si>
  <si>
    <t>tüskés buzogány</t>
  </si>
  <si>
    <t>vaskígyó</t>
  </si>
  <si>
    <t>vasmarok</t>
  </si>
  <si>
    <t>szogarai</t>
  </si>
  <si>
    <t>tecudó</t>
  </si>
  <si>
    <t>dó</t>
  </si>
  <si>
    <t>só</t>
  </si>
  <si>
    <t>handó</t>
  </si>
  <si>
    <t>alabárd</t>
  </si>
  <si>
    <t>bambusznagí</t>
  </si>
  <si>
    <t>bokhan-tó</t>
  </si>
  <si>
    <t>dipada</t>
  </si>
  <si>
    <t>glefe</t>
  </si>
  <si>
    <t>hosszúnyelű kard</t>
  </si>
  <si>
    <t>jahita</t>
  </si>
  <si>
    <t>könnyű kopja</t>
  </si>
  <si>
    <t>lándzsa</t>
  </si>
  <si>
    <t>nagí</t>
  </si>
  <si>
    <t>nehézlovas kopja</t>
  </si>
  <si>
    <t>nyárs</t>
  </si>
  <si>
    <t>ostromkasza</t>
  </si>
  <si>
    <t>papi csákány</t>
  </si>
  <si>
    <t>partizán</t>
  </si>
  <si>
    <t>pika</t>
  </si>
  <si>
    <t>runka</t>
  </si>
  <si>
    <t>szigony</t>
  </si>
  <si>
    <t>anasakó, asakó</t>
  </si>
  <si>
    <t>arugama</t>
  </si>
  <si>
    <t>dzsitte</t>
  </si>
  <si>
    <t>garott</t>
  </si>
  <si>
    <t>hagai</t>
  </si>
  <si>
    <t>háromrészes csaku</t>
  </si>
  <si>
    <t>kétrészes csaku</t>
  </si>
  <si>
    <t>khál mancs</t>
  </si>
  <si>
    <t>korbács</t>
  </si>
  <si>
    <t>kri'tul</t>
  </si>
  <si>
    <t>mori-mitari</t>
  </si>
  <si>
    <t>nekode</t>
  </si>
  <si>
    <t>ostor</t>
  </si>
  <si>
    <t>ököl</t>
  </si>
  <si>
    <t>sinobi-tó</t>
  </si>
  <si>
    <t>sógi-na</t>
  </si>
  <si>
    <t>szasai</t>
  </si>
  <si>
    <t>tekiszen</t>
  </si>
  <si>
    <t>tűgyűrű</t>
  </si>
  <si>
    <t>vasököl</t>
  </si>
  <si>
    <t>aquir nyílpuska</t>
  </si>
  <si>
    <t>arbalet</t>
  </si>
  <si>
    <t>elf íj</t>
  </si>
  <si>
    <t>ferdeíj</t>
  </si>
  <si>
    <t>fusaa</t>
  </si>
  <si>
    <t>fúvócső</t>
  </si>
  <si>
    <t>goblin íj</t>
  </si>
  <si>
    <t>hosszú íj</t>
  </si>
  <si>
    <t>kézi nyílpuska</t>
  </si>
  <si>
    <t>könnyű nyílpuska</t>
  </si>
  <si>
    <t>nehéz nyílpuska</t>
  </si>
  <si>
    <t>niarei íj</t>
  </si>
  <si>
    <t>parittya</t>
  </si>
  <si>
    <t>rövid íj</t>
  </si>
  <si>
    <t>shadoni páncéltörő</t>
  </si>
  <si>
    <t>tűvető</t>
  </si>
  <si>
    <t>visszacsapó íj</t>
  </si>
  <si>
    <t>közepes pajzs</t>
  </si>
  <si>
    <t>nagy pajzs</t>
  </si>
  <si>
    <t>pavéze pajzs</t>
  </si>
  <si>
    <t>zúzópajzs</t>
  </si>
  <si>
    <t>megnevezés</t>
  </si>
  <si>
    <t>kategória</t>
  </si>
  <si>
    <t>különleges</t>
  </si>
  <si>
    <t>célzó</t>
  </si>
  <si>
    <t>dobó</t>
  </si>
  <si>
    <t>pajzs</t>
  </si>
  <si>
    <t>szál</t>
  </si>
  <si>
    <t>zúzó</t>
  </si>
  <si>
    <t>szúró/vágó</t>
  </si>
  <si>
    <t>méreg</t>
  </si>
  <si>
    <t>kezes</t>
  </si>
  <si>
    <t>4 e</t>
  </si>
  <si>
    <t>6 a</t>
  </si>
  <si>
    <t>25 a</t>
  </si>
  <si>
    <t>3 e</t>
  </si>
  <si>
    <t>3 a</t>
  </si>
  <si>
    <t>2 a</t>
  </si>
  <si>
    <t>1 a</t>
  </si>
  <si>
    <t>2 e</t>
  </si>
  <si>
    <t>ár</t>
  </si>
  <si>
    <t>ismertetés</t>
  </si>
  <si>
    <t>az enoszukei kard kiegészítő kése</t>
  </si>
  <si>
    <t>dzsad szablya</t>
  </si>
  <si>
    <t>enoszukei pallos</t>
  </si>
  <si>
    <t>kiadvány</t>
  </si>
  <si>
    <t>k6+2</t>
  </si>
  <si>
    <t>k6+1</t>
  </si>
  <si>
    <t>k10</t>
  </si>
  <si>
    <t>3k6+1</t>
  </si>
  <si>
    <t>k10+1</t>
  </si>
  <si>
    <t>TÉ/CÉ</t>
  </si>
  <si>
    <t>VÉ/m</t>
  </si>
  <si>
    <t>sebzés+erő bónusz</t>
  </si>
  <si>
    <t>sebzés</t>
  </si>
  <si>
    <t>s. járulék</t>
  </si>
  <si>
    <t>súly</t>
  </si>
  <si>
    <t>8,0 gjó</t>
  </si>
  <si>
    <t>5 gjó</t>
  </si>
  <si>
    <t>Enoszuke/216</t>
  </si>
  <si>
    <t>1 gjó</t>
  </si>
  <si>
    <t>2 gjó</t>
  </si>
  <si>
    <t>1,2 gjó</t>
  </si>
  <si>
    <t>2x</t>
  </si>
  <si>
    <t>k6</t>
  </si>
  <si>
    <t>k3</t>
  </si>
  <si>
    <t>8 gjó</t>
  </si>
  <si>
    <t>2k6+1</t>
  </si>
  <si>
    <t>4 gjó</t>
  </si>
  <si>
    <t>Enoszuke/281</t>
  </si>
  <si>
    <t>k5</t>
  </si>
  <si>
    <t>k6+3</t>
  </si>
  <si>
    <t>3k6-2</t>
  </si>
  <si>
    <t>2k6</t>
  </si>
  <si>
    <t>3 gjó</t>
  </si>
  <si>
    <t>enoszukei harci legyező</t>
  </si>
  <si>
    <t>2k6+2</t>
  </si>
  <si>
    <t>k3+1</t>
  </si>
  <si>
    <t>k6-1</t>
  </si>
  <si>
    <t>Enoszuke/222</t>
  </si>
  <si>
    <t>13 e</t>
  </si>
  <si>
    <t>ETK/343</t>
  </si>
  <si>
    <t>6 e</t>
  </si>
  <si>
    <t>15 e</t>
  </si>
  <si>
    <t>25 e</t>
  </si>
  <si>
    <t>5 a</t>
  </si>
  <si>
    <t>16 e</t>
  </si>
  <si>
    <t>120 a</t>
  </si>
  <si>
    <t>14 e</t>
  </si>
  <si>
    <t>k10+2</t>
  </si>
  <si>
    <t>100 a</t>
  </si>
  <si>
    <t>50 r</t>
  </si>
  <si>
    <t>mara-sequor</t>
  </si>
  <si>
    <t>40 r</t>
  </si>
  <si>
    <t>150 r</t>
  </si>
  <si>
    <t>70 a</t>
  </si>
  <si>
    <t>30 r</t>
  </si>
  <si>
    <t>12 e</t>
  </si>
  <si>
    <t>11 e</t>
  </si>
  <si>
    <t>7 e</t>
  </si>
  <si>
    <t>harci kalapács, enoszukei</t>
  </si>
  <si>
    <t>széleskard, enoszukei</t>
  </si>
  <si>
    <t>vaskígyó, enoszukei</t>
  </si>
  <si>
    <t>szigony, enoszukei</t>
  </si>
  <si>
    <t>ETK/344</t>
  </si>
  <si>
    <t>9 e</t>
  </si>
  <si>
    <t>lovas kopja</t>
  </si>
  <si>
    <t>2k10</t>
  </si>
  <si>
    <t>5 e</t>
  </si>
  <si>
    <t>35 e</t>
  </si>
  <si>
    <t>1000 a</t>
  </si>
  <si>
    <t>20 a</t>
  </si>
  <si>
    <t>kahrei nyílpuska</t>
  </si>
  <si>
    <t>80 a</t>
  </si>
  <si>
    <t>8 a</t>
  </si>
  <si>
    <t>12 a</t>
  </si>
  <si>
    <t>40 a</t>
  </si>
  <si>
    <t>120 r</t>
  </si>
  <si>
    <t>80 r</t>
  </si>
  <si>
    <t>k2</t>
  </si>
  <si>
    <t>kicsi pajzs</t>
  </si>
  <si>
    <t>tahdzsi</t>
  </si>
  <si>
    <t>HGB/134</t>
  </si>
  <si>
    <t>k10/k6+2</t>
  </si>
  <si>
    <t>k6+5</t>
  </si>
  <si>
    <t>15 a</t>
  </si>
  <si>
    <t>MTK/8</t>
  </si>
  <si>
    <t>szarvkard (Ghon)</t>
  </si>
  <si>
    <t>MTK/14</t>
  </si>
  <si>
    <t>tőrkarom (Rackhar)</t>
  </si>
  <si>
    <t>egykezes szarvkard (Khrga)</t>
  </si>
  <si>
    <t>PP2/89</t>
  </si>
  <si>
    <t>PP2/53</t>
  </si>
  <si>
    <t>boszorkányvadászok rövid szablyája</t>
  </si>
  <si>
    <t>PP2/55</t>
  </si>
  <si>
    <t>PP1/116</t>
  </si>
  <si>
    <t>PP1/118</t>
  </si>
  <si>
    <t>HGB/130</t>
  </si>
  <si>
    <t>HGB/88</t>
  </si>
  <si>
    <t>széleskard (khot)</t>
  </si>
  <si>
    <t>Rúna II/1/6</t>
  </si>
  <si>
    <t>sárkányfullánk (khiel)</t>
  </si>
  <si>
    <t>hollószárny (khrin-kao)</t>
  </si>
  <si>
    <t>ívkard (sho-khot)</t>
  </si>
  <si>
    <t>Rúna II/1/7</t>
  </si>
  <si>
    <t>holdsarló (hagai)</t>
  </si>
  <si>
    <t>láncos (hold)sarló</t>
  </si>
  <si>
    <t>kéz (shien-ka-to)</t>
  </si>
  <si>
    <t>Rúna/I/4/100</t>
  </si>
  <si>
    <t>láb (shien-ka-to)</t>
  </si>
  <si>
    <t>láb (dart-nid-kinito)</t>
  </si>
  <si>
    <t>kéz (dart-nid-kinito)</t>
  </si>
  <si>
    <t>kéz (avad-ka-kinito)</t>
  </si>
  <si>
    <t>láb (avad-ka-kinito)</t>
  </si>
  <si>
    <t>láb (nisen-nid-to)</t>
  </si>
  <si>
    <t>Rúna/I/4/101</t>
  </si>
  <si>
    <t>harcmodor</t>
  </si>
  <si>
    <t>kéz (nisen-nid-to)</t>
  </si>
  <si>
    <t>k6-2</t>
  </si>
  <si>
    <t>Nisen-kard</t>
  </si>
  <si>
    <t>Rúna V/1/10</t>
  </si>
  <si>
    <t>Hassidis</t>
  </si>
  <si>
    <t>ÚT/332</t>
  </si>
  <si>
    <t>ÚT/330</t>
  </si>
  <si>
    <t>k6+4</t>
  </si>
  <si>
    <t>50 a</t>
  </si>
  <si>
    <t>ÚT/331</t>
  </si>
  <si>
    <t>2k10+2</t>
  </si>
  <si>
    <t>levéltőr (elf tőr)</t>
  </si>
  <si>
    <t>I</t>
  </si>
  <si>
    <t>II</t>
  </si>
  <si>
    <t>III</t>
  </si>
  <si>
    <t>IV</t>
  </si>
  <si>
    <t>V</t>
  </si>
  <si>
    <t>VI</t>
  </si>
  <si>
    <t>Leírás</t>
  </si>
  <si>
    <t>Fajok - korkategóriák</t>
  </si>
  <si>
    <t>kor</t>
  </si>
  <si>
    <t>amund (hebet)</t>
  </si>
  <si>
    <t>amund (hat-neb)</t>
  </si>
  <si>
    <t>Faji minimál kor:</t>
  </si>
  <si>
    <t>Faji maximális kor:</t>
  </si>
  <si>
    <t>Választott korkategória:</t>
  </si>
  <si>
    <t>korkategóriák</t>
  </si>
  <si>
    <t>kormódosítók</t>
  </si>
  <si>
    <t>serdülőkor</t>
  </si>
  <si>
    <t>ifjúkor</t>
  </si>
  <si>
    <t>középkor</t>
  </si>
  <si>
    <t>meglett kor</t>
  </si>
  <si>
    <t>időskor</t>
  </si>
  <si>
    <t>aggastyánkor</t>
  </si>
  <si>
    <t>Jellemek</t>
  </si>
  <si>
    <t>élet (Unikornis)</t>
  </si>
  <si>
    <t>halál (Mantikor)</t>
  </si>
  <si>
    <t>rend (Draco)</t>
  </si>
  <si>
    <t>káosz (Traclon)</t>
  </si>
  <si>
    <t>élet, rend (Kerub)</t>
  </si>
  <si>
    <t>élet, káosz (Sellő)</t>
  </si>
  <si>
    <t>halál, rend (Krák)</t>
  </si>
  <si>
    <t>halál, káosz (Kiméra)</t>
  </si>
  <si>
    <t>rend, élet (Griff)</t>
  </si>
  <si>
    <t>rend, halál (Hastin)</t>
  </si>
  <si>
    <t>káosz, élet (Pegazus)</t>
  </si>
  <si>
    <t>káosz, halál (Démon)</t>
  </si>
  <si>
    <t>SFÉ</t>
  </si>
  <si>
    <t>MGT</t>
  </si>
  <si>
    <t>brigantin</t>
  </si>
  <si>
    <t>láncing</t>
  </si>
  <si>
    <t>sodronying</t>
  </si>
  <si>
    <t>pikkelyvért</t>
  </si>
  <si>
    <t>lemezvértezet</t>
  </si>
  <si>
    <t>mellvért</t>
  </si>
  <si>
    <t>posztóvért</t>
  </si>
  <si>
    <t>kivert bőrpáncél</t>
  </si>
  <si>
    <t>keményített bőrpáncél</t>
  </si>
  <si>
    <t>gyűrűspáncél</t>
  </si>
  <si>
    <t>sodronying, abbit</t>
  </si>
  <si>
    <t>sodronying, mithrill</t>
  </si>
  <si>
    <t>pikkelyvért, bronz</t>
  </si>
  <si>
    <t>pikkelyvért, abbit</t>
  </si>
  <si>
    <t>pikkelyvért, mithrill</t>
  </si>
  <si>
    <t>lemezvértezet, bronz</t>
  </si>
  <si>
    <t>lemezvértezet, abbit</t>
  </si>
  <si>
    <t>lemezvértezet, mithrill</t>
  </si>
  <si>
    <t>mellvért, bronz</t>
  </si>
  <si>
    <t>mellvért, abbit</t>
  </si>
  <si>
    <t>mellvért, mithrill</t>
  </si>
  <si>
    <t>félvértezet</t>
  </si>
  <si>
    <t>félvértezet, bronz</t>
  </si>
  <si>
    <t>félvértezet, abbit</t>
  </si>
  <si>
    <t>félvértezet, mithrill</t>
  </si>
  <si>
    <t>teljes vértezet</t>
  </si>
  <si>
    <t>teljes vértezet, bronz</t>
  </si>
  <si>
    <t>teljes vértezet, abbit</t>
  </si>
  <si>
    <t>teljes vértezet, mithrill</t>
  </si>
  <si>
    <t>gladiátor vért</t>
  </si>
  <si>
    <t>kráni vért</t>
  </si>
  <si>
    <t>kardművész vért</t>
  </si>
  <si>
    <t>sodronying, kék-lunír</t>
  </si>
  <si>
    <t>sodronying, vörös-lunír</t>
  </si>
  <si>
    <t>sodronying, zöld-lunír</t>
  </si>
  <si>
    <t>sodronying, fekete-lunír</t>
  </si>
  <si>
    <t>sodronying, hold-lunír</t>
  </si>
  <si>
    <t>rákozott páncél</t>
  </si>
  <si>
    <t>rákozott páncél, bronz</t>
  </si>
  <si>
    <t>rákozott páncél, abbit</t>
  </si>
  <si>
    <t>rákozott páncél, mithrill</t>
  </si>
  <si>
    <t>Főnix vért, lángvörös</t>
  </si>
  <si>
    <t>Főnix vért, sötét vörös</t>
  </si>
  <si>
    <t>tűzvarázslóvért, aranyszín</t>
  </si>
  <si>
    <t>acélbőr, khál vértezet (Harak)</t>
  </si>
  <si>
    <t>Mf</t>
  </si>
  <si>
    <t>---</t>
  </si>
  <si>
    <t>VÉ / táv</t>
  </si>
  <si>
    <t>kaszt / TSZ</t>
  </si>
  <si>
    <t>1. kaszt</t>
  </si>
  <si>
    <t>2. kaszt</t>
  </si>
  <si>
    <t>harcos, min. 5. TSZ</t>
  </si>
  <si>
    <t>barbár, min. 5. TSZ</t>
  </si>
  <si>
    <t>bajvívó, min. 5. TSZ</t>
  </si>
  <si>
    <t>gladiátor, min. 4. TSZ</t>
  </si>
  <si>
    <t>fejvadász, min. 6. TSZ</t>
  </si>
  <si>
    <t>lovag, min. 6. TSZ</t>
  </si>
  <si>
    <t>Mana pont</t>
  </si>
  <si>
    <t>nincs</t>
  </si>
  <si>
    <t>dzsambia</t>
  </si>
  <si>
    <t>kalandozok.hu</t>
  </si>
  <si>
    <t>a dzsennek speciális (sarló)kése</t>
  </si>
  <si>
    <t>HM megállapítás</t>
  </si>
  <si>
    <t>Szabad HM elosztás</t>
  </si>
  <si>
    <t>Alap / kötelező HM</t>
  </si>
  <si>
    <t>kötelező HM</t>
  </si>
  <si>
    <t>összesen</t>
  </si>
  <si>
    <t>kaszt</t>
  </si>
  <si>
    <t>alap</t>
  </si>
  <si>
    <t>Szabad HM:</t>
  </si>
  <si>
    <t>osztandó kötelező HM</t>
  </si>
  <si>
    <t>osztható HM</t>
  </si>
  <si>
    <t>alap harci értékek</t>
  </si>
  <si>
    <t>Ép</t>
  </si>
  <si>
    <t xml:space="preserve">Kp </t>
  </si>
  <si>
    <r>
      <rPr>
        <sz val="10"/>
        <color theme="1"/>
        <rFont val="Symbol"/>
        <family val="1"/>
        <charset val="2"/>
      </rPr>
      <t>Y</t>
    </r>
    <r>
      <rPr>
        <sz val="10"/>
        <color theme="1"/>
        <rFont val="Book Antiqua"/>
        <family val="1"/>
        <charset val="238"/>
      </rPr>
      <t xml:space="preserve"> iskola:</t>
    </r>
  </si>
  <si>
    <r>
      <rPr>
        <sz val="10"/>
        <color theme="1"/>
        <rFont val="Symbol"/>
        <family val="1"/>
        <charset val="2"/>
      </rPr>
      <t>Y</t>
    </r>
    <r>
      <rPr>
        <sz val="10"/>
        <color theme="1"/>
        <rFont val="Book Antiqua"/>
        <family val="1"/>
        <charset val="238"/>
      </rPr>
      <t>pont:</t>
    </r>
  </si>
  <si>
    <t>iskola</t>
  </si>
  <si>
    <t>Pszi kiválasztás</t>
  </si>
  <si>
    <t>szint</t>
  </si>
  <si>
    <t>Fegy. h.</t>
  </si>
  <si>
    <r>
      <t xml:space="preserve">Tanult </t>
    </r>
    <r>
      <rPr>
        <sz val="10"/>
        <color theme="1"/>
        <rFont val="Symbol"/>
        <family val="1"/>
        <charset val="2"/>
      </rPr>
      <t>Y</t>
    </r>
    <r>
      <rPr>
        <sz val="10"/>
        <color theme="1"/>
        <rFont val="Book Antiqua"/>
        <family val="1"/>
        <charset val="238"/>
      </rPr>
      <t xml:space="preserve">, Af, TSZ: </t>
    </r>
  </si>
  <si>
    <r>
      <t xml:space="preserve">Tanult </t>
    </r>
    <r>
      <rPr>
        <sz val="10"/>
        <color theme="1"/>
        <rFont val="Symbol"/>
        <family val="1"/>
        <charset val="2"/>
      </rPr>
      <t>Y</t>
    </r>
    <r>
      <rPr>
        <sz val="10"/>
        <color theme="1"/>
        <rFont val="Book Antiqua"/>
        <family val="1"/>
        <charset val="238"/>
      </rPr>
      <t xml:space="preserve">, Mf, TSZ: </t>
    </r>
  </si>
  <si>
    <t>Felhasználható Dp:</t>
  </si>
  <si>
    <t>1 Dp ennyi ezüst:</t>
  </si>
  <si>
    <t>Dp költség</t>
  </si>
  <si>
    <t>megjegyzés</t>
  </si>
  <si>
    <t>érték</t>
  </si>
  <si>
    <t>Dp</t>
  </si>
  <si>
    <t>előny</t>
  </si>
  <si>
    <t>hátr.</t>
  </si>
  <si>
    <t>arany</t>
  </si>
  <si>
    <t>Csillagjegy</t>
  </si>
  <si>
    <t>csillagjegy</t>
  </si>
  <si>
    <t>statisztika</t>
  </si>
  <si>
    <t>jellem</t>
  </si>
  <si>
    <t>Áspiskígyó</t>
  </si>
  <si>
    <t>Déli Tőr</t>
  </si>
  <si>
    <t>Démon szeme</t>
  </si>
  <si>
    <t>Diss Tüze</t>
  </si>
  <si>
    <t>Egyszarvú</t>
  </si>
  <si>
    <t>Elátkozott utas</t>
  </si>
  <si>
    <t>Északi Tőr</t>
  </si>
  <si>
    <t>Gyémánt</t>
  </si>
  <si>
    <t>Holló</t>
  </si>
  <si>
    <t>Kék Vadon</t>
  </si>
  <si>
    <t>Lámpásemelő</t>
  </si>
  <si>
    <t>Lándzsa</t>
  </si>
  <si>
    <t>Mantikor</t>
  </si>
  <si>
    <t>Sárkánygerinc</t>
  </si>
  <si>
    <t>Vérgyűrű</t>
  </si>
  <si>
    <t>Starsas Enigie</t>
  </si>
  <si>
    <t>Máglyatűz (kyr)</t>
  </si>
  <si>
    <t>Délsarok (pyar)</t>
  </si>
  <si>
    <t>Méregpohár (kyr)</t>
  </si>
  <si>
    <t>Keresztút (kyr)</t>
  </si>
  <si>
    <t>Igazak menedéke</t>
  </si>
  <si>
    <t>Élő vért (kyr)</t>
  </si>
  <si>
    <t>Hafet Heper (amund)</t>
  </si>
  <si>
    <t>Igazgyöngy (kyr)</t>
  </si>
  <si>
    <t>Karakka (toroni)</t>
  </si>
  <si>
    <t>Lailat (dzsad)</t>
  </si>
  <si>
    <t>Kristálykard (kyr)</t>
  </si>
  <si>
    <t>Orkölő (erv)</t>
  </si>
  <si>
    <t>Tharr Pörölye (toroni)</t>
  </si>
  <si>
    <t>Sagarr Tridat (toroni)</t>
  </si>
  <si>
    <t>Amulett (kyr)</t>
  </si>
  <si>
    <t>+2 méregellenállás</t>
  </si>
  <si>
    <t>+5 TÉ, zúzófegyverek</t>
  </si>
  <si>
    <t>+10 % képzettség</t>
  </si>
  <si>
    <t>+2 Tudalatti Mágiaellenállás</t>
  </si>
  <si>
    <t>+3 Kp, tudományos képzettség</t>
  </si>
  <si>
    <t>+3 Kp, alvilági képzettség</t>
  </si>
  <si>
    <t>faji max.</t>
  </si>
  <si>
    <t>%</t>
  </si>
  <si>
    <t>TME</t>
  </si>
  <si>
    <t>+5 VÉ, védekező harcban</t>
  </si>
  <si>
    <t>+5 KÉ, alkonyatól pirkadatig</t>
  </si>
  <si>
    <t>Fp</t>
  </si>
  <si>
    <r>
      <rPr>
        <b/>
        <i/>
        <sz val="10"/>
        <color theme="1"/>
        <rFont val="Book Antiqua"/>
        <family val="1"/>
        <charset val="238"/>
      </rPr>
      <t>Intelligencia</t>
    </r>
    <r>
      <rPr>
        <sz val="10"/>
        <color theme="1"/>
        <rFont val="Book Antiqua"/>
        <family val="1"/>
        <charset val="238"/>
      </rPr>
      <t xml:space="preserve"> bónusz 1,5x</t>
    </r>
  </si>
  <si>
    <r>
      <rPr>
        <b/>
        <i/>
        <sz val="10"/>
        <color theme="1"/>
        <rFont val="Book Antiqua"/>
        <family val="1"/>
        <charset val="238"/>
      </rPr>
      <t>Akaraterő</t>
    </r>
    <r>
      <rPr>
        <sz val="10"/>
        <color theme="1"/>
        <rFont val="Book Antiqua"/>
        <family val="1"/>
        <charset val="238"/>
      </rPr>
      <t xml:space="preserve"> bónusz (Fp) 2x</t>
    </r>
  </si>
  <si>
    <r>
      <t xml:space="preserve">+1 </t>
    </r>
    <r>
      <rPr>
        <b/>
        <i/>
        <sz val="10"/>
        <color theme="1"/>
        <rFont val="Book Antiqua"/>
        <family val="1"/>
        <charset val="238"/>
      </rPr>
      <t>Állóképesség</t>
    </r>
    <r>
      <rPr>
        <sz val="10"/>
        <color theme="1"/>
        <rFont val="Book Antiqua"/>
        <family val="1"/>
        <charset val="238"/>
      </rPr>
      <t>, faji maximum</t>
    </r>
  </si>
  <si>
    <r>
      <t xml:space="preserve">+1 </t>
    </r>
    <r>
      <rPr>
        <b/>
        <i/>
        <sz val="10"/>
        <color theme="1"/>
        <rFont val="Book Antiqua"/>
        <family val="1"/>
        <charset val="238"/>
      </rPr>
      <t>Asztrál</t>
    </r>
    <r>
      <rPr>
        <sz val="10"/>
        <color theme="1"/>
        <rFont val="Book Antiqua"/>
        <family val="1"/>
        <charset val="238"/>
      </rPr>
      <t>, faji maximum</t>
    </r>
  </si>
  <si>
    <r>
      <t xml:space="preserve">+1 </t>
    </r>
    <r>
      <rPr>
        <b/>
        <i/>
        <sz val="10"/>
        <color theme="1"/>
        <rFont val="Book Antiqua"/>
        <family val="1"/>
        <charset val="238"/>
      </rPr>
      <t>Szépség</t>
    </r>
    <r>
      <rPr>
        <sz val="10"/>
        <color theme="1"/>
        <rFont val="Book Antiqua"/>
        <family val="1"/>
        <charset val="238"/>
      </rPr>
      <t>, faji maximum</t>
    </r>
  </si>
  <si>
    <t>Mágikus kifáradás, 1,5x</t>
  </si>
  <si>
    <t>Látás, 1,5x</t>
  </si>
  <si>
    <t>+5 TÉ, szálfegyverek</t>
  </si>
  <si>
    <t>+5 VÉ, sérülten</t>
  </si>
  <si>
    <t>+5 KÉ, más fajba tartozók ellen</t>
  </si>
  <si>
    <r>
      <t xml:space="preserve">+1 </t>
    </r>
    <r>
      <rPr>
        <b/>
        <i/>
        <sz val="10"/>
        <color theme="1"/>
        <rFont val="Book Antiqua"/>
        <family val="1"/>
        <charset val="238"/>
      </rPr>
      <t>Akaraterő</t>
    </r>
    <r>
      <rPr>
        <sz val="10"/>
        <color theme="1"/>
        <rFont val="Book Antiqua"/>
        <family val="1"/>
        <charset val="238"/>
      </rPr>
      <t>, faji maximum</t>
    </r>
  </si>
  <si>
    <t>Rusenor Trónusa</t>
  </si>
  <si>
    <t>+3 Kp, világi képzettség</t>
  </si>
  <si>
    <r>
      <t xml:space="preserve">+1 </t>
    </r>
    <r>
      <rPr>
        <b/>
        <i/>
        <sz val="10"/>
        <color theme="1"/>
        <rFont val="Book Antiqua"/>
        <family val="1"/>
        <charset val="238"/>
      </rPr>
      <t>Érzékelés</t>
    </r>
    <r>
      <rPr>
        <sz val="10"/>
        <color theme="1"/>
        <rFont val="Book Antiqua"/>
        <family val="1"/>
        <charset val="238"/>
      </rPr>
      <t>, faji maximum</t>
    </r>
  </si>
  <si>
    <t>élet</t>
  </si>
  <si>
    <t>halál</t>
  </si>
  <si>
    <t>káosz</t>
  </si>
  <si>
    <t>rend</t>
  </si>
  <si>
    <t>származás</t>
  </si>
  <si>
    <t>Nincstelen</t>
  </si>
  <si>
    <t>leírás</t>
  </si>
  <si>
    <t>Nemes (1)</t>
  </si>
  <si>
    <t>Nemes (2)</t>
  </si>
  <si>
    <t>az élet úgy tűnt könnyű, nehézségek sem látszanak a horizonton azoknak, akik beleszületnek egy számukra előkészített életbe és ameddig a szabályok szerint él, nem vállal kockázatot úgy tűnhet az állapot örökké fenntartható</t>
  </si>
  <si>
    <t>Urbán / Városi</t>
  </si>
  <si>
    <t>életbe születettek számára sokminden kézenfekvőbb és egyértelműbb, kevesebb az illúzió, de a csodák mindennaposak. Ameddig ki nem lép onnan…</t>
  </si>
  <si>
    <t>Törzsi</t>
  </si>
  <si>
    <t xml:space="preserve">közösséget, biztonságot és egyedi értékeket nyújt, amikkel azonban egy szabad szellem nem mindig tud a legvégsőkig azonosulni </t>
  </si>
  <si>
    <t>árvaként, rossz körülmények között született a karakter, ahonnan nehéz volt kitörni, megvolt az ára, de sikerült neki, hogyha elfeledni soha nem is képes</t>
  </si>
  <si>
    <t>Vidéken</t>
  </si>
  <si>
    <t>születni sokak szerint kiváltság,  és  némi szerencsével  vannak helyek, amiket a világ és a történelem
elkerül</t>
  </si>
  <si>
    <t>Enoszukei</t>
  </si>
  <si>
    <t>származással sok helyen megbélyegezhetnek, máshol olyan ajtók nyílnak ki, amelyek mások előtt örökre
zárva maradnak</t>
  </si>
  <si>
    <t>Magányos mester</t>
  </si>
  <si>
    <t>Házi tanító</t>
  </si>
  <si>
    <t>vannak mesterek, akik bár egykor talán egy nagyobb szervezet szolgálatában álltak, manapság már csak kiválasztottakat tanítanak</t>
  </si>
  <si>
    <t>Klán (Kötelesség)</t>
  </si>
  <si>
    <t xml:space="preserve">alvilági testvériségek, orgyilkos klánok követelik meg a feltétlen engedelmességet az árnyak között és cserébe hatalmat ígérnek. Az előbbre kerülés a hierarchiában pedig szükségszerű és fájdalmas </t>
  </si>
  <si>
    <t>Rend (Hűség)</t>
  </si>
  <si>
    <t xml:space="preserve">lovagrendek és szigorú, harcosokat képző szervezetekben kiszámolt és biztos élet vár. A szabályok és az egyformaság sokszor azokat is kikezdi, akik nem hinnék magukról </t>
  </si>
  <si>
    <t>Vallás (Hit)</t>
  </si>
  <si>
    <t>Vallás (Új Hit)</t>
  </si>
  <si>
    <t>az egész életet egyetlen vallás szigorú regulái között eltölteni egyeseknek áldás, másoknak átok, de az bizonyos, hogy sok igazságot feltár a kíváncsi elme előtt, sokszor még azelőtt, hogy a kérdés fontos lenne</t>
  </si>
  <si>
    <t>Egyetem / Iskola</t>
  </si>
  <si>
    <t xml:space="preserve">minden élethez nagy felkészülés és tudás kell, ehhez pedig mindenhol kiépültek olyan helyek, ahol kiképezik a tanulni vágyókat megfelelő ellenszolgáltatásért vagy mert úgy érzik, hogy a tehetsége révén valóban  hasznára válhat a világnak vagy a kutatásoknak </t>
  </si>
  <si>
    <t>Céh / Kétkezi szakma</t>
  </si>
  <si>
    <t>ősi mesterségek elsajátítása és űzése közben évek telnek el, miközben sokminden másban is erősödik és bővül a mester; tisztességes, becsületes foglalkozás, feladat amire mindig is mindenhol szükség lesz. Álmok beteljesülésének kapujában</t>
  </si>
  <si>
    <t xml:space="preserve">Rabszolgaság / Gladiátor </t>
  </si>
  <si>
    <t>sokféleképpen lehet szolgálni, de könnyel, vérrel és verejtékkel a legnehezebb és legkegyetlenebb; a tudat, hogy a sikereket mások aratják le, hogy az élet értéktelen, láthatatlan hegeket mar a lélekbe; a remény sokszor
megengedhetetlen luxus</t>
  </si>
  <si>
    <t>neveltetés</t>
  </si>
  <si>
    <t>motiváció</t>
  </si>
  <si>
    <t>Renegát / Üldözött</t>
  </si>
  <si>
    <t>könnyebben válhat valakiből, mint azt valaha is gondolná; elég egy olyan helyzet, amire morálisan nem készítették fel a szigorú regulák, vagy egy olyan döntés, amitől élőbbnek érzi magát, mint bármikor azelőtt; azonban mindennek ára van… ebben az esetben pedig egy életen át tartó menekülés és rejtőzés</t>
  </si>
  <si>
    <t>Száműzetés</t>
  </si>
  <si>
    <t>lehet könyörületesebb büntetésnek tűnik a halálnál, de idővel a kényszer, hogy valaki idegen kultúrákban megállja a helyét sokszor nehezebb</t>
  </si>
  <si>
    <t>Bosszú</t>
  </si>
  <si>
    <t>az érzés, hogy a világot csak egy véres tett billentheti vissza az igazságos és becsületes mederbe, sokakat késztetett már otthonuk elhagyására, edzésre és hosszú kalandos útra</t>
  </si>
  <si>
    <t>Tartozás</t>
  </si>
  <si>
    <t>olykor nem a megfelelő személytől/lénytől kérünk szívességet és a törlesztés módja anyagi vagy szívesség terén beláthatatlan ideig tart vagy nehézséget okozhat</t>
  </si>
  <si>
    <t>Küldetés</t>
  </si>
  <si>
    <t>vannak feladatok, amiknek elvégzéséhez egy kiválasztottra van szükség, aki hátrahagyva mindent, amit ismer bizonytalan, misztikus vándorútra indul azzal a hittel, hogy a számára kijelölt tett végrehajtására csak ő képes, minden nehézség és kihívás ellenére is</t>
  </si>
  <si>
    <t>Sorsszerű találkozás</t>
  </si>
  <si>
    <t>olykor a csapatot az a tény hozza össze, hogy egy helyen és időben vannak, egy fogadóban, egy rajtaütésben vagy a börtönben és hamar kiderül, hogy egymásra lesznek utalva…</t>
  </si>
  <si>
    <t>Wierré válás</t>
  </si>
  <si>
    <t>az átváltozás nem marad észrevétlen, mert senki sincs felkészítve rá, nem is lehet; ez az „élmény” sokszor olyan áldozatokkal és lemondással jár, hogy (így vagy úgy) de a wiernek el kell hagynia mindent, amit addig ismert és szeretet</t>
  </si>
  <si>
    <t>Szerelem</t>
  </si>
  <si>
    <t xml:space="preserve">ha van érzés, ami hegyeket mozgat és világokat képes megváltoztatni azzal, hogy a négy sarkából kirázza, akkor ez az; akár elveszett, akár megtalált, senkinek sem ugyanolyan az élete azután, hogy egy végzetes pillanatban az istenek letekintettek rá és kiválasztottjára; s van, hogy ez az érzés nyughatatlan, örökké tartó útra vezet… </t>
  </si>
  <si>
    <t>1. kaland:</t>
  </si>
  <si>
    <t>2. kaland:</t>
  </si>
  <si>
    <t>3. kaland:</t>
  </si>
  <si>
    <t>Elkölthető Dicsőségpontok és egyebek</t>
  </si>
  <si>
    <t>Aki farkast kiált</t>
  </si>
  <si>
    <t>ismeretek</t>
  </si>
  <si>
    <t>vadorkok, sámánmágia, ork hitvilág, Morgena vallás, Antiss</t>
  </si>
  <si>
    <t>Rémület temploma</t>
  </si>
  <si>
    <r>
      <rPr>
        <b/>
        <sz val="10"/>
        <color theme="1"/>
        <rFont val="Book Antiqua"/>
        <family val="1"/>
        <charset val="238"/>
      </rPr>
      <t>(Északi Városállamok)</t>
    </r>
    <r>
      <rPr>
        <sz val="10"/>
        <color theme="1"/>
        <rFont val="Book Antiqua"/>
        <family val="1"/>
        <charset val="238"/>
      </rPr>
      <t xml:space="preserve"> egy Zászlóháború óta portyázó ork csapat levadászása közben különös szertartás részeseivé váltak a karakterek </t>
    </r>
  </si>
  <si>
    <t>gorviki történelem, kísértetek, élőhalottak, mentál és asztrálmágia</t>
  </si>
  <si>
    <t>Vihar a hágón</t>
  </si>
  <si>
    <t>hegyvidékjárás, Ansinatis élőhalott, szerzetesi mágia, khinn diszciplinák</t>
  </si>
  <si>
    <t>Dreonnar küldetése</t>
  </si>
  <si>
    <t>Dreina vallás, Boszorkánymesteri mágia, Zaurak</t>
  </si>
  <si>
    <t>A kísértetjárta ház</t>
  </si>
  <si>
    <t>óriás patkányok, Alkímia, boszorkánymesteri mágia, Pyarron történelme, zaurak</t>
  </si>
  <si>
    <t>Váratlan vendég</t>
  </si>
  <si>
    <t>Shadon történelem, Ranagol vallás, Noir vallás, Etikett, Átkok</t>
  </si>
  <si>
    <t>Gyilkosság Caedonban</t>
  </si>
  <si>
    <t>fejvadászok, mérgek, varázslói mágia, alkímia</t>
  </si>
  <si>
    <t>Láplidérc</t>
  </si>
  <si>
    <t>káoszlények, mocsárjárás, boszorkánymesteri mágia, mérgek, zaurak, orwella vallás, papmágia</t>
  </si>
  <si>
    <t xml:space="preserve">A démon átka </t>
  </si>
  <si>
    <t>zaurak, varázsló mágia, boszorkánymesteri mágia, orkok</t>
  </si>
  <si>
    <t xml:space="preserve">A törpék kincsestára </t>
  </si>
  <si>
    <t>barlangjárás, úszás, élőhalottak, föld alatt élő bestiáriumi állatok (gider, siramor, büdösgyík, raghas)</t>
  </si>
  <si>
    <t>Madarak szigete</t>
  </si>
  <si>
    <t>hajózás, pyarroni bürokrácia, egzotikus állatok, kalóztestvériségek</t>
  </si>
  <si>
    <t>Észak és Dél</t>
  </si>
  <si>
    <t>ork kultúra, crantai történelem, nomád kultúra, láma, Wysty, térmágia</t>
  </si>
  <si>
    <t>Vérengzés kardja</t>
  </si>
  <si>
    <t>történelem, démonok, tolvajklánok, varázslói mágia</t>
  </si>
  <si>
    <t>Maszkok ünnepe</t>
  </si>
  <si>
    <t>Ikrek fejvadászai, történelem, Inkvizítorok Szövetsége, Drágakőmágia</t>
  </si>
  <si>
    <t>Külvárosi éj</t>
  </si>
  <si>
    <t>történelem, Beid élőhalott</t>
  </si>
  <si>
    <t xml:space="preserve">Jó széllel toroni partra </t>
  </si>
  <si>
    <t>Ikrek klánja, Kráni harcikutya, Mantikór, Hajózás, Boszorkánymesteri mágia, Bannara, Kráni fejvadászok</t>
  </si>
  <si>
    <t xml:space="preserve">Az úrnő bajnokai </t>
  </si>
  <si>
    <t>Orwella vallás, Elátkozott vidék bestiái, boszorkánymágia</t>
  </si>
  <si>
    <t>Nap papok titka</t>
  </si>
  <si>
    <t>Ranil vallás, Dwyll-Unió helyismeret, dwoon történelem, Ranil papmágia, Ikrek  fejvadászklánja</t>
  </si>
  <si>
    <t>Rochalea (bestia), Időmágia, Krad vallás</t>
  </si>
  <si>
    <t>Jöjj vissza vándor</t>
  </si>
  <si>
    <r>
      <rPr>
        <b/>
        <sz val="10"/>
        <color theme="1"/>
        <rFont val="Book Antiqua"/>
        <family val="1"/>
        <charset val="238"/>
      </rPr>
      <t>(Új-Pyarron, 1. szint)</t>
    </r>
    <r>
      <rPr>
        <sz val="10"/>
        <color theme="1"/>
        <rFont val="Book Antiqua"/>
        <family val="1"/>
        <charset val="238"/>
      </rPr>
      <t xml:space="preserve"> egy elveszett kegytárgy megkeresése és a főváros közelében fosztogató lények megzabolázása</t>
    </r>
  </si>
  <si>
    <r>
      <rPr>
        <b/>
        <sz val="10"/>
        <color theme="1"/>
        <rFont val="Book Antiqua"/>
        <family val="1"/>
        <charset val="238"/>
      </rPr>
      <t>(Davalon, 3-4. szint)</t>
    </r>
    <r>
      <rPr>
        <sz val="10"/>
        <color theme="1"/>
        <rFont val="Book Antiqua"/>
        <family val="1"/>
        <charset val="238"/>
      </rPr>
      <t xml:space="preserve"> a dwoonok fővárosába érkező csapat tévedésből egy titkosszolgálatok közötti háborúba csöppen, aminek tétje könnyen a háború kimenetele lehet</t>
    </r>
  </si>
  <si>
    <r>
      <rPr>
        <b/>
        <sz val="10"/>
        <color theme="1"/>
        <rFont val="Book Antiqua"/>
        <family val="1"/>
        <charset val="238"/>
      </rPr>
      <t>(Erion, Elátkozott Vidék, 3. szint)</t>
    </r>
    <r>
      <rPr>
        <sz val="10"/>
        <color theme="1"/>
        <rFont val="Book Antiqua"/>
        <family val="1"/>
        <charset val="238"/>
      </rPr>
      <t xml:space="preserve"> egy bajbajutott hölgy kéri fel a karaktereket egy ritka és értékes grimórum megszerzésére busás jutalom ígéretével</t>
    </r>
  </si>
  <si>
    <r>
      <rPr>
        <b/>
        <sz val="10"/>
        <color theme="1"/>
        <rFont val="Book Antiqua"/>
        <family val="1"/>
        <charset val="238"/>
      </rPr>
      <t>(Quiron-tenger, Ifin, 3-4. szint)</t>
    </r>
    <r>
      <rPr>
        <sz val="10"/>
        <color theme="1"/>
        <rFont val="Book Antiqua"/>
        <family val="1"/>
        <charset val="238"/>
      </rPr>
      <t xml:space="preserve"> a toroni fejvadászok segítséget kérnek egy olyan ellenséggel szemben, amivel nem voltak képesek megbirkózni</t>
    </r>
  </si>
  <si>
    <r>
      <rPr>
        <b/>
        <sz val="10"/>
        <color theme="1"/>
        <rFont val="Book Antiqua"/>
        <family val="1"/>
        <charset val="238"/>
      </rPr>
      <t>(Hat Város, Bacchirátana, 3-4. szint)</t>
    </r>
    <r>
      <rPr>
        <sz val="10"/>
        <color theme="1"/>
        <rFont val="Book Antiqua"/>
        <family val="1"/>
        <charset val="238"/>
      </rPr>
      <t xml:space="preserve"> a kalandozókat egy különös gyilkosság kinyomozására kérik fel a helyiek, akik félnek a halálból visszatérő gyilkostól</t>
    </r>
  </si>
  <si>
    <r>
      <rPr>
        <b/>
        <sz val="10"/>
        <color theme="1"/>
        <rFont val="Book Antiqua"/>
        <family val="1"/>
        <charset val="238"/>
      </rPr>
      <t>(Eren, Masgar, 3-4. szint)</t>
    </r>
    <r>
      <rPr>
        <sz val="10"/>
        <color theme="1"/>
        <rFont val="Book Antiqua"/>
        <family val="1"/>
        <charset val="238"/>
      </rPr>
      <t xml:space="preserve"> fontos küldemény kallódik el a titkosszolgálatok között, ami eldöntheti egy Zászlóháború
kimenetelét</t>
    </r>
  </si>
  <si>
    <r>
      <rPr>
        <b/>
        <sz val="10"/>
        <color theme="1"/>
        <rFont val="Book Antiqua"/>
        <family val="1"/>
        <charset val="238"/>
      </rPr>
      <t>(Gorvik, 1-4. szint)</t>
    </r>
    <r>
      <rPr>
        <sz val="10"/>
        <color theme="1"/>
        <rFont val="Book Antiqua"/>
        <family val="1"/>
        <charset val="238"/>
      </rPr>
      <t xml:space="preserve"> egy reményteli nemes kísérőjeként ősi romok között kerestétek legendás Vérkő nyomait, de hamarosan egy ősi szellem csapdájában találtátok magatok</t>
    </r>
  </si>
  <si>
    <r>
      <rPr>
        <b/>
        <sz val="10"/>
        <color theme="1"/>
        <rFont val="Book Antiqua"/>
        <family val="1"/>
        <charset val="238"/>
      </rPr>
      <t>(Sheral, 1-4. szint)</t>
    </r>
    <r>
      <rPr>
        <sz val="10"/>
        <color theme="1"/>
        <rFont val="Book Antiqua"/>
        <family val="1"/>
        <charset val="238"/>
      </rPr>
      <t xml:space="preserve"> egy különös idegenekkel teli karaván átkelése a Világgerincen egy közeli démonőrző kolostorban történt baleset eseményeit keresztezi</t>
    </r>
  </si>
  <si>
    <r>
      <rPr>
        <b/>
        <sz val="10"/>
        <color theme="1"/>
        <rFont val="Book Antiqua"/>
        <family val="1"/>
        <charset val="238"/>
      </rPr>
      <t>(Északi vagy Déli Városállamok, 1. szint)</t>
    </r>
    <r>
      <rPr>
        <sz val="10"/>
        <color theme="1"/>
        <rFont val="Book Antiqua"/>
        <family val="1"/>
        <charset val="238"/>
      </rPr>
      <t xml:space="preserve"> több elveszett kereskedő nyomát kutatva hamarosan egy rablóbanda nyomaira bukkantok és annak enigmatikus vezetőjére, aki nagy terveket dédelget</t>
    </r>
  </si>
  <si>
    <r>
      <rPr>
        <b/>
        <sz val="10"/>
        <color theme="1"/>
        <rFont val="Book Antiqua"/>
        <family val="1"/>
        <charset val="238"/>
      </rPr>
      <t>(Új-Pyarron, 1-4. szint)</t>
    </r>
    <r>
      <rPr>
        <sz val="10"/>
        <color theme="1"/>
        <rFont val="Book Antiqua"/>
        <family val="1"/>
        <charset val="238"/>
      </rPr>
      <t xml:space="preserve"> betörésnek látszó munkának indult a Kastélyok Völgyében álló elhagyatott kúria felderítése, de a titokzatos megbízó információi hiányosak voltak a helyről </t>
    </r>
  </si>
  <si>
    <r>
      <rPr>
        <b/>
        <sz val="10"/>
        <color theme="1"/>
        <rFont val="Book Antiqua"/>
        <family val="1"/>
        <charset val="238"/>
      </rPr>
      <t>(Caedon, 2-4. szint)</t>
    </r>
    <r>
      <rPr>
        <sz val="10"/>
        <color theme="1"/>
        <rFont val="Book Antiqua"/>
        <family val="1"/>
        <charset val="238"/>
      </rPr>
      <t xml:space="preserve"> senki sem szereti, hogyha gyilkossággal vádolják és ti sem, így mindent megtettetek, hogy tisztázzátok magatokat és lemossátok a foltot becsületetekről</t>
    </r>
  </si>
  <si>
    <r>
      <rPr>
        <b/>
        <sz val="10"/>
        <color theme="1"/>
        <rFont val="Book Antiqua"/>
        <family val="1"/>
        <charset val="238"/>
      </rPr>
      <t>(Déli Városállamok, 2-4. szint)</t>
    </r>
    <r>
      <rPr>
        <sz val="10"/>
        <color theme="1"/>
        <rFont val="Book Antiqua"/>
        <family val="1"/>
        <charset val="238"/>
      </rPr>
      <t xml:space="preserve"> egy meghiúsított rajtaütés hírét hoztátok a közeli Bel Estesso birtokra, ahol hamarosan az örökösödési kérdés kiélesedett</t>
    </r>
  </si>
  <si>
    <r>
      <rPr>
        <b/>
        <sz val="10"/>
        <color theme="1"/>
        <rFont val="Book Antiqua"/>
        <family val="1"/>
        <charset val="238"/>
      </rPr>
      <t>(északnyugati vadon, 2-3. szint)</t>
    </r>
    <r>
      <rPr>
        <sz val="10"/>
        <color theme="1"/>
        <rFont val="Book Antiqua"/>
        <family val="1"/>
        <charset val="238"/>
      </rPr>
      <t xml:space="preserve"> ritkán járnak utazók keresztül a mocsáron és a helyiek kihasználva az alkalmat visszautasíthatatlan ajánlatot tettek, hogy megöljétek a falvakat rettegésben tartó szörnyet</t>
    </r>
  </si>
  <si>
    <r>
      <rPr>
        <b/>
        <sz val="10"/>
        <color theme="1"/>
        <rFont val="Book Antiqua"/>
        <family val="1"/>
        <charset val="238"/>
      </rPr>
      <t>(Déli Városállamok, 2-5. szint)</t>
    </r>
    <r>
      <rPr>
        <sz val="10"/>
        <color theme="1"/>
        <rFont val="Book Antiqua"/>
        <family val="1"/>
        <charset val="238"/>
      </rPr>
      <t xml:space="preserve"> Roxenben egy báró kalandozókat keres legújabb üzleti vállalkozásának támogatására és az érdekeit sértő átkozott törpék ellen </t>
    </r>
  </si>
  <si>
    <r>
      <rPr>
        <b/>
        <sz val="10"/>
        <color theme="1"/>
        <rFont val="Book Antiqua"/>
        <family val="1"/>
        <charset val="238"/>
      </rPr>
      <t>(Déli Városállamok, 2-5. szint)</t>
    </r>
    <r>
      <rPr>
        <sz val="10"/>
        <color theme="1"/>
        <rFont val="Book Antiqua"/>
        <family val="1"/>
        <charset val="238"/>
      </rPr>
      <t xml:space="preserve"> Az átkozott törpe nemzetség titkos és elveszett széfjének megtalálása a Vadjáratokban, régimódi kincsvadászoknak</t>
    </r>
  </si>
  <si>
    <r>
      <rPr>
        <b/>
        <sz val="10"/>
        <color theme="1"/>
        <rFont val="Book Antiqua"/>
        <family val="1"/>
        <charset val="238"/>
      </rPr>
      <t>(Gályák-tengere, 2-4.)</t>
    </r>
    <r>
      <rPr>
        <sz val="10"/>
        <color theme="1"/>
        <rFont val="Book Antiqua"/>
        <family val="1"/>
        <charset val="238"/>
      </rPr>
      <t xml:space="preserve"> Kincskeresés egy ősi térkép alapján a kalózvezér mesés vagyona után a misztikus szigetre</t>
    </r>
  </si>
  <si>
    <r>
      <rPr>
        <b/>
        <sz val="10"/>
        <color theme="1"/>
        <rFont val="Book Antiqua"/>
        <family val="1"/>
        <charset val="238"/>
      </rPr>
      <t>(Fenyvesföld és Déli Puszták, 3-5. szint)</t>
    </r>
    <r>
      <rPr>
        <sz val="10"/>
        <color theme="1"/>
        <rFont val="Book Antiqua"/>
        <family val="1"/>
        <charset val="238"/>
      </rPr>
      <t xml:space="preserve"> két nép szokatlan összeköttetést talál egymással és a játékosok feladata, hogy diplomaták legyenek mindkét oldalon</t>
    </r>
  </si>
  <si>
    <r>
      <rPr>
        <b/>
        <sz val="10"/>
        <color theme="1"/>
        <rFont val="Book Antiqua"/>
        <family val="1"/>
        <charset val="238"/>
      </rPr>
      <t>(Északi Városállamok, 3-4. szint)</t>
    </r>
    <r>
      <rPr>
        <sz val="10"/>
        <color theme="1"/>
        <rFont val="Book Antiqua"/>
        <family val="1"/>
        <charset val="238"/>
      </rPr>
      <t xml:space="preserve"> egy ősi párviadal újabb fejezete készülődik, amikor előbb kell összerakni egy ősi fegyvert, mint azok, akik rosszra használnák hatalmát</t>
    </r>
  </si>
  <si>
    <t>kyr vérű</t>
  </si>
  <si>
    <t>HM-re költött:</t>
  </si>
  <si>
    <t>Kp-ra költött:</t>
  </si>
  <si>
    <t>fel nem használt:</t>
  </si>
  <si>
    <t>faj:</t>
  </si>
  <si>
    <t>kaszt:</t>
  </si>
  <si>
    <t>szint:</t>
  </si>
  <si>
    <t>kalandozóvá válás:</t>
  </si>
  <si>
    <t>neveltetés:</t>
  </si>
  <si>
    <t>származás:</t>
  </si>
  <si>
    <t>csillagjegy:</t>
  </si>
  <si>
    <t>tulajdonság:</t>
  </si>
  <si>
    <t>ÖSSZESEN</t>
  </si>
  <si>
    <t>Előnyökre, Különleges képzésre marad:</t>
  </si>
  <si>
    <t>Hebet</t>
  </si>
  <si>
    <t>Rhó</t>
  </si>
  <si>
    <t>Sznofru</t>
  </si>
  <si>
    <t>Hevioso</t>
  </si>
  <si>
    <t>Shenar</t>
  </si>
  <si>
    <t>Pszi-mester</t>
  </si>
  <si>
    <t>Árnyvadász</t>
  </si>
  <si>
    <t>Nomád harcos</t>
  </si>
  <si>
    <t>Hegyi barbár</t>
  </si>
  <si>
    <t>Manteca</t>
  </si>
  <si>
    <t>Sötét bárd</t>
  </si>
  <si>
    <t>Arel pap (ETK)</t>
  </si>
  <si>
    <t>Uwel paplovag (ETK)</t>
  </si>
  <si>
    <t>Illuzionista</t>
  </si>
  <si>
    <t>Tehetség</t>
  </si>
  <si>
    <t>Mázli</t>
  </si>
  <si>
    <t>Kapcsolat</t>
  </si>
  <si>
    <t>Veszélyérzék</t>
  </si>
  <si>
    <t>Új Hit</t>
  </si>
  <si>
    <t>Kétnyelvű</t>
  </si>
  <si>
    <t>Bölcsek Könyve</t>
  </si>
  <si>
    <t>Dicsőség Útja</t>
  </si>
  <si>
    <t>Senki bolondja</t>
  </si>
  <si>
    <t>Fóbia</t>
  </si>
  <si>
    <t>Mánia</t>
  </si>
  <si>
    <t>Szétszórtság</t>
  </si>
  <si>
    <t>Allergia</t>
  </si>
  <si>
    <t>mesélő által alkalmazott szerencsepróba dobását az 7k10%-ban pozitívan befolyásolja</t>
  </si>
  <si>
    <t>a karakternek 25% esélye van a veszély megérzésére, amely 50%-ra emelkedik, ha az életét is fenyegeti</t>
  </si>
  <si>
    <t>a karakter a választott képzettés ismert és elismert művelője</t>
  </si>
  <si>
    <t>Mágiatűrés (Átkok)</t>
  </si>
  <si>
    <t>Mágiatűrés (Nekromancia)</t>
  </si>
  <si>
    <t>Mágiatűrés (Asztrálmágia)</t>
  </si>
  <si>
    <t>Mágiatűrés (Mentálmágia)</t>
  </si>
  <si>
    <t>10% eséllyel nem jön létre a mágia, de ha létre jön, akkor 15 E-vel gyengébben</t>
  </si>
  <si>
    <t>kevéssé ismert vagy hatalmától megfosztott, illetve egy teljesen új istenség kegye</t>
  </si>
  <si>
    <t>a karakter az induló nyelvek között két élő nyelvet beszél anyanyelvi szinten</t>
  </si>
  <si>
    <t>a karakter hozzájuthat két különleges könyvhöz, melyek nehezen hozzáférhetőek</t>
  </si>
  <si>
    <t>a Doldzsah pap kaszt felvételéhez szükséges út</t>
  </si>
  <si>
    <t>a karakter szerencsétlensége 10k10% lesz a kaland folyamán</t>
  </si>
  <si>
    <t xml:space="preserve">ha a karakter látja és/vagy tudatában van félelme tárgyának jelenlétében akkor a harc félelem bénultan </t>
  </si>
  <si>
    <t>karakternek gyenge a koncentrálóképessége =&gt;elmélyülést, odafigyelést jelentő dolognál, (pl. pszi, varázslás stb.) Akaraterő próbát kell dobnia</t>
  </si>
  <si>
    <t>Aramaka</t>
  </si>
  <si>
    <t>Előnyök</t>
  </si>
  <si>
    <t>Hátrányok</t>
  </si>
  <si>
    <t>barát / fontosabb kapcsolat egy adott vidéken vagy kapcsolat egy helyi szervvel</t>
  </si>
  <si>
    <t>bizonyos dolgokból nem enged a karaktert vagy bizonyos dolgot nem tud elengedni (pl. üldözési mánia), de nem megszállottság!</t>
  </si>
  <si>
    <t>veleszületett, vagy kialakult rendellenesség, a leghevesebb reakciók: igen súlyos rosszullét, fulladás, ájulás</t>
  </si>
  <si>
    <t>Torzulás (állandó beszédhiba)</t>
  </si>
  <si>
    <t>stresszhelyzetben a beszéd érthetetlenné torzul</t>
  </si>
  <si>
    <t>Torzulás (félszem hiány/vakság)</t>
  </si>
  <si>
    <t>Torzulás (sántaság)</t>
  </si>
  <si>
    <t>Torzulás (egyik kéz hiánya)</t>
  </si>
  <si>
    <r>
      <rPr>
        <b/>
        <i/>
        <sz val="10"/>
        <color theme="1"/>
        <rFont val="Book Antiqua"/>
        <family val="1"/>
        <charset val="238"/>
      </rPr>
      <t xml:space="preserve">Ügyesség </t>
    </r>
    <r>
      <rPr>
        <sz val="10"/>
        <color theme="1"/>
        <rFont val="Book Antiqua"/>
        <family val="1"/>
        <charset val="238"/>
      </rPr>
      <t xml:space="preserve">próbáira -1; </t>
    </r>
    <r>
      <rPr>
        <b/>
        <i/>
        <sz val="10"/>
        <color theme="1"/>
        <rFont val="Book Antiqua"/>
        <family val="1"/>
        <charset val="238"/>
      </rPr>
      <t>Észlelés</t>
    </r>
    <r>
      <rPr>
        <sz val="10"/>
        <color theme="1"/>
        <rFont val="Book Antiqua"/>
        <family val="1"/>
        <charset val="238"/>
      </rPr>
      <t xml:space="preserve"> próbáira pedig -2 módosító; harcban állandó </t>
    </r>
    <r>
      <rPr>
        <b/>
        <i/>
        <sz val="10"/>
        <color theme="1"/>
        <rFont val="Book Antiqua"/>
        <family val="1"/>
        <charset val="238"/>
      </rPr>
      <t xml:space="preserve">Zavaró Hátrány </t>
    </r>
    <r>
      <rPr>
        <sz val="10"/>
        <color theme="1"/>
        <rFont val="Book Antiqua"/>
        <family val="1"/>
        <charset val="238"/>
      </rPr>
      <t>(-10 minden értékre)</t>
    </r>
  </si>
  <si>
    <r>
      <rPr>
        <b/>
        <i/>
        <sz val="10"/>
        <color theme="1"/>
        <rFont val="Book Antiqua"/>
        <family val="1"/>
        <charset val="238"/>
      </rPr>
      <t xml:space="preserve">Ügyesség </t>
    </r>
    <r>
      <rPr>
        <sz val="10"/>
        <color theme="1"/>
        <rFont val="Book Antiqua"/>
        <family val="1"/>
        <charset val="238"/>
      </rPr>
      <t xml:space="preserve">próbáira -1; </t>
    </r>
    <r>
      <rPr>
        <b/>
        <i/>
        <sz val="10"/>
        <color theme="1"/>
        <rFont val="Book Antiqua"/>
        <family val="1"/>
        <charset val="238"/>
      </rPr>
      <t>Gyorsaség</t>
    </r>
    <r>
      <rPr>
        <sz val="10"/>
        <color theme="1"/>
        <rFont val="Book Antiqua"/>
        <family val="1"/>
        <charset val="238"/>
      </rPr>
      <t xml:space="preserve"> próbáira pedig -2 módosító; harcban állandó </t>
    </r>
    <r>
      <rPr>
        <b/>
        <i/>
        <sz val="10"/>
        <color theme="1"/>
        <rFont val="Book Antiqua"/>
        <family val="1"/>
        <charset val="238"/>
      </rPr>
      <t>Zavaró Hátrány</t>
    </r>
    <r>
      <rPr>
        <sz val="10"/>
        <color theme="1"/>
        <rFont val="Book Antiqua"/>
        <family val="1"/>
        <charset val="238"/>
      </rPr>
      <t xml:space="preserve"> (-10 minden értékre)</t>
    </r>
  </si>
  <si>
    <r>
      <rPr>
        <b/>
        <i/>
        <sz val="10"/>
        <color theme="1"/>
        <rFont val="Book Antiqua"/>
        <family val="1"/>
        <charset val="238"/>
      </rPr>
      <t xml:space="preserve">Ügyesség </t>
    </r>
    <r>
      <rPr>
        <sz val="10"/>
        <color theme="1"/>
        <rFont val="Book Antiqua"/>
        <family val="1"/>
        <charset val="238"/>
      </rPr>
      <t xml:space="preserve">próbáira -2; </t>
    </r>
    <r>
      <rPr>
        <b/>
        <i/>
        <sz val="10"/>
        <color theme="1"/>
        <rFont val="Book Antiqua"/>
        <family val="1"/>
        <charset val="238"/>
      </rPr>
      <t>Gyorsaség</t>
    </r>
    <r>
      <rPr>
        <sz val="10"/>
        <color theme="1"/>
        <rFont val="Book Antiqua"/>
        <family val="1"/>
        <charset val="238"/>
      </rPr>
      <t xml:space="preserve"> próbáira pedig -1 módosító; harcban állandó </t>
    </r>
    <r>
      <rPr>
        <b/>
        <i/>
        <sz val="10"/>
        <color theme="1"/>
        <rFont val="Book Antiqua"/>
        <family val="1"/>
        <charset val="238"/>
      </rPr>
      <t>Jelentős Hátrány</t>
    </r>
    <r>
      <rPr>
        <sz val="10"/>
        <color theme="1"/>
        <rFont val="Book Antiqua"/>
        <family val="1"/>
        <charset val="238"/>
      </rPr>
      <t xml:space="preserve"> (-25 minden értékre), stb.</t>
    </r>
  </si>
  <si>
    <t>Torzulás (egyik láb hiánya)</t>
  </si>
  <si>
    <r>
      <rPr>
        <b/>
        <i/>
        <sz val="10"/>
        <color theme="1"/>
        <rFont val="Book Antiqua"/>
        <family val="1"/>
        <charset val="238"/>
      </rPr>
      <t xml:space="preserve">Ügyesség </t>
    </r>
    <r>
      <rPr>
        <sz val="10"/>
        <color theme="1"/>
        <rFont val="Book Antiqua"/>
        <family val="1"/>
        <charset val="238"/>
      </rPr>
      <t xml:space="preserve">próbáira -2; </t>
    </r>
    <r>
      <rPr>
        <b/>
        <i/>
        <sz val="10"/>
        <color theme="1"/>
        <rFont val="Book Antiqua"/>
        <family val="1"/>
        <charset val="238"/>
      </rPr>
      <t>Gyorsaség</t>
    </r>
    <r>
      <rPr>
        <sz val="10"/>
        <color theme="1"/>
        <rFont val="Book Antiqua"/>
        <family val="1"/>
        <charset val="238"/>
      </rPr>
      <t xml:space="preserve"> próbáira pedig -2 módosító; harcban állandó </t>
    </r>
    <r>
      <rPr>
        <b/>
        <i/>
        <sz val="10"/>
        <color theme="1"/>
        <rFont val="Book Antiqua"/>
        <family val="1"/>
        <charset val="238"/>
      </rPr>
      <t>Jelentős Hátrány</t>
    </r>
    <r>
      <rPr>
        <sz val="10"/>
        <color theme="1"/>
        <rFont val="Book Antiqua"/>
        <family val="1"/>
        <charset val="238"/>
      </rPr>
      <t xml:space="preserve"> (-25 minden értékre), stb.</t>
    </r>
  </si>
  <si>
    <t>Torzulás (teljes vakság)</t>
  </si>
  <si>
    <r>
      <rPr>
        <b/>
        <i/>
        <sz val="10"/>
        <color theme="1"/>
        <rFont val="Book Antiqua"/>
        <family val="1"/>
        <charset val="238"/>
      </rPr>
      <t xml:space="preserve">Ügyesség </t>
    </r>
    <r>
      <rPr>
        <sz val="10"/>
        <color theme="1"/>
        <rFont val="Book Antiqua"/>
        <family val="1"/>
        <charset val="238"/>
      </rPr>
      <t xml:space="preserve">próbáira -2; </t>
    </r>
    <r>
      <rPr>
        <b/>
        <i/>
        <sz val="10"/>
        <color theme="1"/>
        <rFont val="Book Antiqua"/>
        <family val="1"/>
        <charset val="238"/>
      </rPr>
      <t>Észlelés</t>
    </r>
    <r>
      <rPr>
        <sz val="10"/>
        <color theme="1"/>
        <rFont val="Book Antiqua"/>
        <family val="1"/>
        <charset val="238"/>
      </rPr>
      <t xml:space="preserve"> próbáira pedig -4 módosító; harcban állandó </t>
    </r>
    <r>
      <rPr>
        <b/>
        <i/>
        <sz val="10"/>
        <color theme="1"/>
        <rFont val="Book Antiqua"/>
        <family val="1"/>
        <charset val="238"/>
      </rPr>
      <t>Harc vakon</t>
    </r>
    <r>
      <rPr>
        <sz val="10"/>
        <color theme="1"/>
        <rFont val="Book Antiqua"/>
        <family val="1"/>
        <charset val="238"/>
      </rPr>
      <t xml:space="preserve"> állapot, stb.</t>
    </r>
  </si>
  <si>
    <t>Kyr vérbaj (Sylchas-kór)</t>
  </si>
  <si>
    <t>Kyr vérbaj (Elchian-himlő)</t>
  </si>
  <si>
    <r>
      <t xml:space="preserve">általános gyengeség: %-os képzettésgpróbára -10%, </t>
    </r>
    <r>
      <rPr>
        <b/>
        <i/>
        <sz val="10"/>
        <color theme="1"/>
        <rFont val="Book Antiqua"/>
        <family val="1"/>
        <charset val="238"/>
      </rPr>
      <t>Gyorsaság</t>
    </r>
    <r>
      <rPr>
        <sz val="10"/>
        <color theme="1"/>
        <rFont val="Book Antiqua"/>
        <family val="1"/>
        <charset val="238"/>
      </rPr>
      <t xml:space="preserve"> próba (futás, mozgás) -2 módosító</t>
    </r>
  </si>
  <si>
    <t>Kyr vérbaj (Yrchian-köszvény)</t>
  </si>
  <si>
    <t>Kyr vérbaj (Chalistid-kór)</t>
  </si>
  <si>
    <r>
      <t xml:space="preserve">különös bőrbetegség, kirekesztéssel jár: </t>
    </r>
    <r>
      <rPr>
        <b/>
        <i/>
        <sz val="10"/>
        <color theme="1"/>
        <rFont val="Book Antiqua"/>
        <family val="1"/>
        <charset val="238"/>
      </rPr>
      <t>Szépség</t>
    </r>
    <r>
      <rPr>
        <sz val="10"/>
        <color theme="1"/>
        <rFont val="Book Antiqua"/>
        <family val="1"/>
        <charset val="238"/>
      </rPr>
      <t xml:space="preserve"> tulajdonságra -4 levonás</t>
    </r>
  </si>
  <si>
    <r>
      <t xml:space="preserve">csontok, izületek betegsége: </t>
    </r>
    <r>
      <rPr>
        <b/>
        <i/>
        <sz val="10"/>
        <color theme="1"/>
        <rFont val="Book Antiqua"/>
        <family val="1"/>
        <charset val="238"/>
      </rPr>
      <t>Ügyesség</t>
    </r>
    <r>
      <rPr>
        <sz val="10"/>
        <color theme="1"/>
        <rFont val="Book Antiqua"/>
        <family val="1"/>
        <charset val="238"/>
      </rPr>
      <t xml:space="preserve"> tulajdonságra -2 levonás, és a </t>
    </r>
    <r>
      <rPr>
        <b/>
        <i/>
        <sz val="10"/>
        <color theme="1"/>
        <rFont val="Book Antiqua"/>
        <family val="1"/>
        <charset val="238"/>
      </rPr>
      <t>Támadó-/Védőérték</t>
    </r>
    <r>
      <rPr>
        <sz val="10"/>
        <color theme="1"/>
        <rFont val="Book Antiqua"/>
        <family val="1"/>
        <charset val="238"/>
      </rPr>
      <t xml:space="preserve"> további 5 ponttal csökken</t>
    </r>
  </si>
  <si>
    <t>Kyr vérbaj (Császárbaj)</t>
  </si>
  <si>
    <r>
      <t xml:space="preserve">izmok betegsége: </t>
    </r>
    <r>
      <rPr>
        <b/>
        <i/>
        <sz val="10"/>
        <color theme="1"/>
        <rFont val="Book Antiqua"/>
        <family val="1"/>
        <charset val="238"/>
      </rPr>
      <t>Erő</t>
    </r>
    <r>
      <rPr>
        <sz val="10"/>
        <color theme="1"/>
        <rFont val="Book Antiqua"/>
        <family val="1"/>
        <charset val="238"/>
      </rPr>
      <t xml:space="preserve"> tulajdonságra -2 levonás, és a </t>
    </r>
    <r>
      <rPr>
        <b/>
        <i/>
        <sz val="10"/>
        <color theme="1"/>
        <rFont val="Book Antiqua"/>
        <family val="1"/>
        <charset val="238"/>
      </rPr>
      <t>Támadóérték</t>
    </r>
    <r>
      <rPr>
        <sz val="10"/>
        <color theme="1"/>
        <rFont val="Book Antiqua"/>
        <family val="1"/>
        <charset val="238"/>
      </rPr>
      <t xml:space="preserve"> további 5 ponttal csökken</t>
    </r>
  </si>
  <si>
    <r>
      <t xml:space="preserve">különös vérzékenység, gyengeség: </t>
    </r>
    <r>
      <rPr>
        <b/>
        <i/>
        <sz val="10"/>
        <color theme="1"/>
        <rFont val="Book Antiqua"/>
        <family val="1"/>
        <charset val="238"/>
      </rPr>
      <t>Egészség</t>
    </r>
    <r>
      <rPr>
        <sz val="10"/>
        <color theme="1"/>
        <rFont val="Book Antiqua"/>
        <family val="1"/>
        <charset val="238"/>
      </rPr>
      <t xml:space="preserve"> tulajdonságra -2 levonás, elveszett Fp, Ép fele olyan lassan tér vissza, mint egyébként</t>
    </r>
  </si>
  <si>
    <t>Kyr vérbaj (Anasian-kór)</t>
  </si>
  <si>
    <t>különös érzékenység a fájdalomra, gyengeség: minden sebződésnél tovább 4 Fp veszteség (a kötelező Ép veszteségnél is számít)</t>
  </si>
  <si>
    <t>További hátrányok</t>
  </si>
  <si>
    <t>Felhasználva:</t>
  </si>
  <si>
    <t>vagyonra:</t>
  </si>
  <si>
    <t xml:space="preserve"> arany</t>
  </si>
  <si>
    <t>típus</t>
  </si>
  <si>
    <t>hátrány</t>
  </si>
  <si>
    <t>Shien-ka-to</t>
  </si>
  <si>
    <t>Dart-nid-kinito</t>
  </si>
  <si>
    <t>Avad-ka-kinito</t>
  </si>
  <si>
    <t>Nisen-nid-to</t>
  </si>
  <si>
    <t>Shadleki-stílus</t>
  </si>
  <si>
    <t>Aleggehri-stílus</t>
  </si>
  <si>
    <t>Den Aliud-stílus</t>
  </si>
  <si>
    <t>Takeru</t>
  </si>
  <si>
    <t>Shien-shu</t>
  </si>
  <si>
    <t>Ki-Riyaji-ten-kinito</t>
  </si>
  <si>
    <t>Aszisz boksz</t>
  </si>
  <si>
    <t>Dzsad kardtánc</t>
  </si>
  <si>
    <t>Fiesta Ramiero</t>
  </si>
  <si>
    <t>Varjúvecsernye</t>
  </si>
  <si>
    <t>Kígyómarás</t>
  </si>
  <si>
    <t>Ab Artia stílus</t>
  </si>
  <si>
    <t>kül. képzés</t>
  </si>
  <si>
    <t>támadáscentrikus, drakfa bot használata, kéz-láb technikák használata egyforma; szimbólum: sárga kör alapon fekete lángnyelv</t>
  </si>
  <si>
    <t>drakfa bot (shien-ka-to)</t>
  </si>
  <si>
    <t>+1 Pp/TSZ</t>
  </si>
  <si>
    <t>az ellenfél lendületét használja fel, nehéz stílus, kéz-láb technikák használata egyforma; szimbólum: víz</t>
  </si>
  <si>
    <t>stabil alapállás, a harcművész szinte a teljes súlyát beleadja az ütéseibe; szimbólum: Sidar hegy stílizált körvonala</t>
  </si>
  <si>
    <t>kéz-láb technikák használata 60%-40%, jellemző a lábsöprés és a gáncs; szimbólum: szél</t>
  </si>
  <si>
    <t>támadás központű, kétkezes technika, bal kézben tőrt használ</t>
  </si>
  <si>
    <t>védelem központű, hárítófegyverként hárító tőrt használ, az ugrást előnyben részesítő technika</t>
  </si>
  <si>
    <t>köpenyvivásként ismert, védelem központú technika</t>
  </si>
  <si>
    <t>Radovikánus lovagoktól elterjedt stílus, a fegyverrel levédett támadásokért cserében további támadás intézhető</t>
  </si>
  <si>
    <t>gyors kardrántás technikája, jellemzően párbajstílus</t>
  </si>
  <si>
    <t>a harci értékek áramoltatásának technikája TÉ és VÉ között (legfeljebb a harci érték + a fegyver értéke összegében)</t>
  </si>
  <si>
    <t>az alkalmazott fegyverek (jellemzően Slan kard + Slan tőr) harcértékei összeadódnak</t>
  </si>
  <si>
    <t>íjművészet, kiemelt képzés Erkölcs, Irodalom és Lélektan képzettségekben; fegyver: riyaji-íj</t>
  </si>
  <si>
    <t>riyaji-íj  (Ki-Riyaji-ten-kinito )</t>
  </si>
  <si>
    <t>Mentát (csak pszi-mester)</t>
  </si>
  <si>
    <t>Khinn (csak pszi-mester)</t>
  </si>
  <si>
    <t>Kino-Baruko (csak pszi-mester)</t>
  </si>
  <si>
    <t>Hergoli Villámmester (csak BM)</t>
  </si>
  <si>
    <t>Mágikus Tetoválások (csak BM)</t>
  </si>
  <si>
    <t>Igric (csak bárd)</t>
  </si>
  <si>
    <t>Dalnok (csak bárd)</t>
  </si>
  <si>
    <t>Bonviván és Díva (csak bárd)</t>
  </si>
  <si>
    <t>a pszi-mester ismeri a d20 alapkönyv diszcíplináit is, jellemzően nemes házaknál, pyar állomáshelyeken szolgál</t>
  </si>
  <si>
    <t>a pszi-mester betekintés kap a Sheral bércei között található khinn kolostor szerzeteseinek tudásába</t>
  </si>
  <si>
    <t>a pszi-mester betekintés kap az elme ősi útjának tanaiba, csak az a mentát és a khinn képzés megléte esetén</t>
  </si>
  <si>
    <t>a mestervizsga eredményeként a villámvarázslatok sebzése a mágikus tűzéhez lesz hasonló</t>
  </si>
  <si>
    <t>a mestervizsga eredményeként a karakter ismeri a titkos mágikus boszorkánymesteri tetoválásokat</t>
  </si>
  <si>
    <t>a karakter már rátalált legalább egy olyan kötetre, amely bárd varázslatokat tartalmaz: 10+k10 új varázslat</t>
  </si>
  <si>
    <r>
      <t>4. TSZ felett, a karakter járt a Legendák Tornyában és betekintett a Legendák és Enigmákba: 2k10+</t>
    </r>
    <r>
      <rPr>
        <b/>
        <i/>
        <sz val="10"/>
        <color theme="1"/>
        <rFont val="Book Antiqua"/>
        <family val="1"/>
        <charset val="238"/>
      </rPr>
      <t>Intelligencia</t>
    </r>
    <r>
      <rPr>
        <sz val="10"/>
        <color theme="1"/>
        <rFont val="Book Antiqua"/>
        <family val="1"/>
        <charset val="238"/>
      </rPr>
      <t xml:space="preserve"> új varázslat</t>
    </r>
  </si>
  <si>
    <t>minden bárd varázslatot ismer a karakter, a tudásra a hosszú élete során tett szert</t>
  </si>
  <si>
    <t>Equvaro (csak kyr-vérűek)</t>
  </si>
  <si>
    <t>puszta kezes technika, Toronban ismert</t>
  </si>
  <si>
    <t>ököl (Equvaro)</t>
  </si>
  <si>
    <t>részeg boksznak is nevezik, jellemzően az aszisz tengerészek között dívik; jelentős előnyöket ad vízi járműveken alkalmazva</t>
  </si>
  <si>
    <t>Sunu (csak törpe)</t>
  </si>
  <si>
    <t>Ibris művészet (csak elar)</t>
  </si>
  <si>
    <t>akronabatikus dzsad technika, jellemző fegyvere a dzsenn szablya</t>
  </si>
  <si>
    <t>kimért, méltóságteljes stílus, mely az ellenfelek teljes elpusztítására irányul, fegyvere a ramiera</t>
  </si>
  <si>
    <t>törpék között elterjedt puszta kezes, vagy szöges kesztyűs harcmodor; az alacsonyabb-magasabb pozcíiók módosítói felcserélődnek</t>
  </si>
  <si>
    <t>szakadár Dartoniták által alkalmazott, kékezes gyalogos fegyverre építő technika, mellyel körönként 1x támadhat a karakter</t>
  </si>
  <si>
    <t>minden támadásnál dönthet a karakter, hogy a kezdeményező vagy támadó vagy sebzés dobást 2x dobja, és válaszhat melyiket alkalmazza</t>
  </si>
  <si>
    <t>a Beriquel belterületén élő elarok jellemző technikája; fegyverük az ibris</t>
  </si>
  <si>
    <t>ibris (védő)</t>
  </si>
  <si>
    <t>az elarok különleges fegyvere, 2. körtől +5 KÉ</t>
  </si>
  <si>
    <t>ibris (támadó, fő penge)</t>
  </si>
  <si>
    <t>ibris (támadó, jégvirág)</t>
  </si>
  <si>
    <t>e18fr</t>
  </si>
  <si>
    <t>Varázsló, dorani</t>
  </si>
  <si>
    <t>Varázsló, lar-dori</t>
  </si>
  <si>
    <t>Uwel paplovag (PPL)</t>
  </si>
  <si>
    <t>Boszorkánymester, arshuri</t>
  </si>
  <si>
    <t>Varázsló, orfenita</t>
  </si>
  <si>
    <t>Varázsló, álomtáncos</t>
  </si>
  <si>
    <t>Uwel szerzetes (ravator)</t>
  </si>
  <si>
    <t>Felice papnő</t>
  </si>
  <si>
    <t>Bárd, Vándor dalnok</t>
  </si>
  <si>
    <t>Bárd, Lombhullás Árvái</t>
  </si>
  <si>
    <t>Fejvadász, Ikrek (Mortor)</t>
  </si>
  <si>
    <t>Fejvadász, Ikrek (Pugnites)</t>
  </si>
  <si>
    <t>Harcos</t>
  </si>
  <si>
    <t>Kotariai hegyivadász</t>
  </si>
  <si>
    <t>angolnatőr</t>
  </si>
  <si>
    <t>angolnatőr (hárítótőrként)</t>
  </si>
  <si>
    <t>Manteca harcosok különleges tőre</t>
  </si>
  <si>
    <t xml:space="preserve">2 a </t>
  </si>
  <si>
    <t>2+2</t>
  </si>
  <si>
    <t>jégcsákány</t>
  </si>
  <si>
    <t>vadászkés</t>
  </si>
  <si>
    <t>bozótvágó kés</t>
  </si>
  <si>
    <t>Arshur karmai</t>
  </si>
  <si>
    <t>Arshur karmainak pajzsa</t>
  </si>
  <si>
    <t>arshuri pajzs (fegyverként)</t>
  </si>
  <si>
    <t>arshuri pajzs (pajzsként)</t>
  </si>
  <si>
    <t>Fejvadász, Vértestvériség</t>
  </si>
  <si>
    <t>Gyöngykeresők, Obszidián</t>
  </si>
  <si>
    <t>Gyöngykeresők, Rubin</t>
  </si>
  <si>
    <t>Gyöngykeresők, Gyémánt</t>
  </si>
  <si>
    <t>Gyöngykeresők, Smaragd</t>
  </si>
  <si>
    <t>Gyöngykeresők, Borostyán</t>
  </si>
  <si>
    <t>Gyöngykeresők fegyvere</t>
  </si>
  <si>
    <t>kéttorkú</t>
  </si>
  <si>
    <t>Árnyvadászok fegyvere</t>
  </si>
  <si>
    <t>fátyolpenge</t>
  </si>
  <si>
    <t>kéz (acélkéz)</t>
  </si>
  <si>
    <t>Árnyvadász harcművészeti stílus</t>
  </si>
  <si>
    <t>láb (acélkéz)</t>
  </si>
  <si>
    <t>Siopa</t>
  </si>
  <si>
    <t>Siopa pszi</t>
  </si>
  <si>
    <t>Pyarroni</t>
  </si>
  <si>
    <t>Pyar szint MfAf</t>
  </si>
  <si>
    <t>010101</t>
  </si>
  <si>
    <t>Mf - szint</t>
  </si>
  <si>
    <t>Af - szint</t>
  </si>
  <si>
    <t>számított</t>
  </si>
  <si>
    <t>levonás</t>
  </si>
  <si>
    <t>(Int-tel)</t>
  </si>
  <si>
    <t>barbár kasztok</t>
  </si>
  <si>
    <t>Leutaril sámánpap</t>
  </si>
  <si>
    <t xml:space="preserve">Ramkir sámánpap </t>
  </si>
  <si>
    <t xml:space="preserve">Tomatis sámánpap </t>
  </si>
  <si>
    <t>nomád kasztok</t>
  </si>
  <si>
    <t>faj + Int</t>
  </si>
  <si>
    <t>Karakter kinézete</t>
  </si>
  <si>
    <t>Jegyzetek</t>
  </si>
  <si>
    <t>Faji különleges képességek</t>
  </si>
  <si>
    <t>fajok</t>
  </si>
  <si>
    <t>különleges képességek</t>
  </si>
  <si>
    <t>nincs, de +1 Dp :)</t>
  </si>
  <si>
    <t>Ultralátás, 20 méter</t>
  </si>
  <si>
    <t>Telepátia</t>
  </si>
  <si>
    <t>Perszelő tekintet</t>
  </si>
  <si>
    <t>Egység</t>
  </si>
  <si>
    <t>Mentál mozaikok alkalmazása</t>
  </si>
  <si>
    <t xml:space="preserve">   pszi pontokból (1 Pp = 1 Mp)</t>
  </si>
  <si>
    <t>Kétkezes harc (dzsambia) Mf</t>
  </si>
  <si>
    <t>Hallás: 2x-e az emberének</t>
  </si>
  <si>
    <t>Látás: 2,5x-e az emberének</t>
  </si>
  <si>
    <t>Lovaglás Mf, Idomítás Mf</t>
  </si>
  <si>
    <t>Erdőjárás Mf</t>
  </si>
  <si>
    <t>CÉ=20, ha a kaszté nem éri el</t>
  </si>
  <si>
    <t>Infralátás, 50 méter</t>
  </si>
  <si>
    <t>Infralátás, 10 méter</t>
  </si>
  <si>
    <t>Látás: 2x-e az emberének</t>
  </si>
  <si>
    <t>Hallás: 1,5x-e az emberének</t>
  </si>
  <si>
    <t>CÉ=10, ha a kaszté nem éri el</t>
  </si>
  <si>
    <t xml:space="preserve"> </t>
  </si>
  <si>
    <t>Nekromancia elleni ME: -6</t>
  </si>
  <si>
    <t>Nekromancia elleni ME: -8</t>
  </si>
  <si>
    <t>Szaglás: 5x-e az emberének</t>
  </si>
  <si>
    <t>Veszély megérzése: 20% / 40%</t>
  </si>
  <si>
    <t>Erdőjárás, Vadászat, Időjóslás Af</t>
  </si>
  <si>
    <t>Úszás Af, Futás Mf</t>
  </si>
  <si>
    <t>Ordítás: állatokat megvadítja</t>
  </si>
  <si>
    <t>Kétkezes harc (1k fegyverekkel)</t>
  </si>
  <si>
    <t>Asztrál mágia ellen -20 ME</t>
  </si>
  <si>
    <t>Infralátás, 30 méter</t>
  </si>
  <si>
    <t>Kiváló időérzék a föld alatt is</t>
  </si>
  <si>
    <t xml:space="preserve">Mélység, emelkető/lejtő </t>
  </si>
  <si>
    <t xml:space="preserve">   mértékének érzékelése</t>
  </si>
  <si>
    <t>Építmény korának becslése</t>
  </si>
  <si>
    <t>Infralátás, 15 méter</t>
  </si>
  <si>
    <t>Infralátás, 30 méter (*)</t>
  </si>
  <si>
    <t>Szaglás: 2x-e az emberének (*)</t>
  </si>
  <si>
    <t>Hallás: 2x-e az emberének (*)</t>
  </si>
  <si>
    <t xml:space="preserve">   (*) vért iszik vagy Vp-t áldoz rá</t>
  </si>
  <si>
    <t>Vérmágia immunitás</t>
  </si>
  <si>
    <t>Vérmágia érzékelés, 20 láb</t>
  </si>
  <si>
    <t>Nem öregszik (ha embervért)</t>
  </si>
  <si>
    <t>Kyr diszcilinák használata</t>
  </si>
  <si>
    <t xml:space="preserve">   (kivéve Energiagyűjtés)</t>
  </si>
  <si>
    <t>Nemes, büszke kiállás</t>
  </si>
  <si>
    <t>Wier "varázslatok" (5 E), gyógy.</t>
  </si>
  <si>
    <t>Látás, hallás: 2x-e az emberének</t>
  </si>
  <si>
    <t xml:space="preserve"> (csak bajvívó vagy harcművész esetén)</t>
  </si>
  <si>
    <t>Alborne pap (Alkotók)</t>
  </si>
  <si>
    <t>Alborne pap (Tanítók)</t>
  </si>
  <si>
    <t>Doldzsah pap (bahrada)</t>
  </si>
  <si>
    <t>Doldzsah pap (hadzsi)</t>
  </si>
  <si>
    <t>Doldzsah pap (tolvaj)</t>
  </si>
  <si>
    <t>egykezes csatabárd, mithrill</t>
  </si>
  <si>
    <t>hegyi vadászok fegyvere</t>
  </si>
  <si>
    <t>k10+3</t>
  </si>
  <si>
    <t>800 a</t>
  </si>
  <si>
    <t>HGB/047</t>
  </si>
  <si>
    <t>Lovag, Hercegi Vörös Rend</t>
  </si>
  <si>
    <t>Lovag, Erigowi Krad Rend</t>
  </si>
  <si>
    <t>Lovag, Viad.-i Oroszlánszív</t>
  </si>
  <si>
    <t>Lovag, Kard Testvériség</t>
  </si>
  <si>
    <t>Tűz Táplálói</t>
  </si>
  <si>
    <t>Dreina pap (politika)</t>
  </si>
  <si>
    <t>Dreina pap (gazdaság)</t>
  </si>
  <si>
    <t>Dreina pap (jog)</t>
  </si>
  <si>
    <t>Sogron pap (Őstűz Urai)</t>
  </si>
  <si>
    <t>Orwella papnő (P. Erő Útja)</t>
  </si>
  <si>
    <t>Orwella papnő (Arc Nélküli)</t>
  </si>
  <si>
    <t>Perzselő tekintet</t>
  </si>
  <si>
    <t>verzió:</t>
  </si>
  <si>
    <r>
      <t xml:space="preserve"> Készítette, alapokat lerakta: </t>
    </r>
    <r>
      <rPr>
        <b/>
        <sz val="9"/>
        <color theme="1"/>
        <rFont val="Book Antiqua"/>
        <family val="1"/>
        <charset val="238"/>
      </rPr>
      <t>Silver Hawk @ 2012</t>
    </r>
    <r>
      <rPr>
        <sz val="9"/>
        <color theme="1"/>
        <rFont val="Book Antiqua"/>
        <family val="1"/>
        <charset val="238"/>
      </rPr>
      <t xml:space="preserve">, módosította: </t>
    </r>
    <r>
      <rPr>
        <b/>
        <sz val="9"/>
        <color theme="1"/>
        <rFont val="Book Antiqua"/>
        <family val="1"/>
        <charset val="238"/>
      </rPr>
      <t>Con Salamander</t>
    </r>
    <r>
      <rPr>
        <sz val="9"/>
        <color theme="1"/>
        <rFont val="Book Antiqua"/>
        <family val="1"/>
        <charset val="238"/>
      </rPr>
      <t xml:space="preserve">, újragondolta, kibővítette: </t>
    </r>
    <r>
      <rPr>
        <b/>
        <sz val="9"/>
        <color theme="1"/>
        <rFont val="Book Antiqua"/>
        <family val="1"/>
        <charset val="238"/>
      </rPr>
      <t>Catsmile @ 2019</t>
    </r>
  </si>
  <si>
    <t>3.19.0305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</si>
</sst>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#,###"/>
    <numFmt numFmtId="166" formatCode="0.0"/>
    <numFmt numFmtId="167" formatCode="0&quot; év&quot;"/>
    <numFmt numFmtId="168" formatCode="0&quot; cm&quot;"/>
    <numFmt numFmtId="169" formatCode="0&quot; kg&quot;"/>
  </numFmts>
  <fonts count="27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Book Antiqua"/>
      <family val="1"/>
      <charset val="238"/>
    </font>
    <font>
      <sz val="10"/>
      <name val="Book Antiqua"/>
      <family val="1"/>
      <charset val="238"/>
    </font>
    <font>
      <sz val="10"/>
      <color theme="0" tint="-0.14999847407452621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b/>
      <sz val="10"/>
      <name val="Book Antiqua"/>
      <family val="1"/>
      <charset val="238"/>
    </font>
    <font>
      <i/>
      <sz val="10"/>
      <color theme="1"/>
      <name val="Book Antiqua"/>
      <family val="1"/>
      <charset val="238"/>
    </font>
    <font>
      <i/>
      <sz val="10"/>
      <name val="Book Antiqua"/>
      <family val="1"/>
      <charset val="238"/>
    </font>
    <font>
      <i/>
      <sz val="10"/>
      <color theme="0" tint="-0.34998626667073579"/>
      <name val="Book Antiqua"/>
      <family val="1"/>
      <charset val="238"/>
    </font>
    <font>
      <b/>
      <i/>
      <sz val="10"/>
      <color theme="1"/>
      <name val="Book Antiqua"/>
      <family val="1"/>
      <charset val="238"/>
    </font>
    <font>
      <b/>
      <i/>
      <sz val="9"/>
      <color indexed="81"/>
      <name val="Book Antiqua"/>
      <family val="1"/>
      <charset val="238"/>
    </font>
    <font>
      <b/>
      <i/>
      <sz val="9"/>
      <color rgb="FF000000"/>
      <name val="Book Antiqua"/>
      <family val="1"/>
      <charset val="238"/>
    </font>
    <font>
      <sz val="9"/>
      <color theme="1"/>
      <name val="Book Antiqua"/>
      <family val="1"/>
      <charset val="238"/>
    </font>
    <font>
      <sz val="10"/>
      <color theme="6" tint="0.79998168889431442"/>
      <name val="Book Antiqua"/>
      <family val="1"/>
      <charset val="238"/>
    </font>
    <font>
      <sz val="9"/>
      <name val="Book Antiqua"/>
      <family val="1"/>
      <charset val="238"/>
    </font>
    <font>
      <sz val="9"/>
      <color indexed="81"/>
      <name val="Book Antiqua"/>
      <family val="1"/>
      <charset val="238"/>
    </font>
    <font>
      <sz val="10"/>
      <color theme="1"/>
      <name val="Symbol"/>
      <family val="1"/>
      <charset val="2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u/>
      <sz val="10"/>
      <color theme="10"/>
      <name val="Book Antiqua"/>
      <family val="1"/>
      <charset val="238"/>
    </font>
    <font>
      <sz val="7.5"/>
      <color theme="1"/>
      <name val="Book Antiqua"/>
      <family val="1"/>
      <charset val="238"/>
    </font>
    <font>
      <b/>
      <sz val="9"/>
      <color theme="1"/>
      <name val="Book Antiqua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6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/>
    <xf numFmtId="0" fontId="4" fillId="2" borderId="24" xfId="0" applyFont="1" applyFill="1" applyBorder="1" applyAlignment="1">
      <alignment vertical="center"/>
    </xf>
    <xf numFmtId="0" fontId="4" fillId="0" borderId="0" xfId="0" applyFont="1"/>
    <xf numFmtId="0" fontId="4" fillId="0" borderId="57" xfId="0" applyFont="1" applyBorder="1"/>
    <xf numFmtId="0" fontId="4" fillId="0" borderId="0" xfId="0" applyFont="1" applyAlignment="1">
      <alignment horizontal="center"/>
    </xf>
    <xf numFmtId="0" fontId="4" fillId="0" borderId="10" xfId="0" applyFont="1" applyBorder="1"/>
    <xf numFmtId="0" fontId="4" fillId="0" borderId="0" xfId="0" applyFont="1" applyBorder="1"/>
    <xf numFmtId="0" fontId="4" fillId="0" borderId="50" xfId="0" applyFont="1" applyBorder="1"/>
    <xf numFmtId="0" fontId="4" fillId="0" borderId="40" xfId="0" applyFont="1" applyBorder="1"/>
    <xf numFmtId="0" fontId="4" fillId="0" borderId="0" xfId="0" applyFont="1" applyAlignment="1">
      <alignment horizontal="right"/>
    </xf>
    <xf numFmtId="0" fontId="4" fillId="0" borderId="5" xfId="0" applyFont="1" applyBorder="1"/>
    <xf numFmtId="0" fontId="4" fillId="0" borderId="0" xfId="0" applyFont="1" applyFill="1" applyBorder="1"/>
    <xf numFmtId="0" fontId="4" fillId="0" borderId="0" xfId="0" applyFont="1" applyFill="1"/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/>
    <xf numFmtId="0" fontId="7" fillId="0" borderId="50" xfId="0" applyFont="1" applyBorder="1"/>
    <xf numFmtId="0" fontId="7" fillId="0" borderId="54" xfId="0" applyFont="1" applyBorder="1"/>
    <xf numFmtId="0" fontId="4" fillId="0" borderId="55" xfId="0" applyFont="1" applyBorder="1"/>
    <xf numFmtId="0" fontId="4" fillId="0" borderId="56" xfId="0" applyFont="1" applyBorder="1"/>
    <xf numFmtId="0" fontId="7" fillId="0" borderId="0" xfId="0" applyFont="1"/>
    <xf numFmtId="0" fontId="4" fillId="4" borderId="0" xfId="0" applyFont="1" applyFill="1"/>
    <xf numFmtId="0" fontId="4" fillId="0" borderId="54" xfId="0" applyFont="1" applyBorder="1"/>
    <xf numFmtId="0" fontId="4" fillId="0" borderId="0" xfId="0" applyFont="1" applyFill="1" applyAlignment="1">
      <alignment horizontal="right"/>
    </xf>
    <xf numFmtId="0" fontId="4" fillId="2" borderId="0" xfId="0" applyFont="1" applyFill="1"/>
    <xf numFmtId="3" fontId="4" fillId="0" borderId="0" xfId="0" applyNumberFormat="1" applyFont="1"/>
    <xf numFmtId="3" fontId="4" fillId="0" borderId="0" xfId="0" applyNumberFormat="1" applyFont="1" applyFill="1"/>
    <xf numFmtId="3" fontId="4" fillId="4" borderId="0" xfId="0" applyNumberFormat="1" applyFont="1" applyFill="1"/>
    <xf numFmtId="3" fontId="4" fillId="2" borderId="0" xfId="0" applyNumberFormat="1" applyFont="1" applyFill="1"/>
    <xf numFmtId="0" fontId="4" fillId="5" borderId="0" xfId="0" applyFont="1" applyFill="1"/>
    <xf numFmtId="0" fontId="4" fillId="6" borderId="0" xfId="0" applyFont="1" applyFill="1"/>
    <xf numFmtId="0" fontId="4" fillId="0" borderId="5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164" fontId="4" fillId="0" borderId="50" xfId="0" applyNumberFormat="1" applyFont="1" applyBorder="1" applyAlignment="1">
      <alignment horizontal="center"/>
    </xf>
    <xf numFmtId="3" fontId="4" fillId="0" borderId="40" xfId="0" applyNumberFormat="1" applyFont="1" applyBorder="1"/>
    <xf numFmtId="164" fontId="4" fillId="0" borderId="54" xfId="0" applyNumberFormat="1" applyFont="1" applyBorder="1" applyAlignment="1">
      <alignment horizontal="center"/>
    </xf>
    <xf numFmtId="3" fontId="4" fillId="0" borderId="56" xfId="0" applyNumberFormat="1" applyFont="1" applyBorder="1"/>
    <xf numFmtId="0" fontId="7" fillId="0" borderId="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4" fillId="0" borderId="30" xfId="0" applyFont="1" applyBorder="1"/>
    <xf numFmtId="0" fontId="7" fillId="0" borderId="12" xfId="0" applyFont="1" applyBorder="1"/>
    <xf numFmtId="0" fontId="7" fillId="0" borderId="1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Fill="1" applyBorder="1"/>
    <xf numFmtId="0" fontId="4" fillId="0" borderId="12" xfId="0" applyFont="1" applyBorder="1"/>
    <xf numFmtId="0" fontId="7" fillId="0" borderId="59" xfId="0" applyFont="1" applyBorder="1" applyAlignment="1">
      <alignment horizontal="center"/>
    </xf>
    <xf numFmtId="0" fontId="11" fillId="3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/>
    <xf numFmtId="0" fontId="4" fillId="0" borderId="0" xfId="0" applyFont="1" applyFill="1" applyAlignment="1"/>
    <xf numFmtId="0" fontId="4" fillId="2" borderId="0" xfId="0" applyFont="1" applyFill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5" borderId="0" xfId="0" applyFont="1" applyFill="1" applyAlignment="1"/>
    <xf numFmtId="3" fontId="0" fillId="0" borderId="0" xfId="0" applyNumberFormat="1"/>
    <xf numFmtId="0" fontId="4" fillId="2" borderId="24" xfId="0" applyFont="1" applyFill="1" applyBorder="1" applyAlignment="1">
      <alignment shrinkToFit="1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37" xfId="0" applyFont="1" applyBorder="1" applyAlignment="1" applyProtection="1">
      <alignment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8" xfId="0" applyNumberFormat="1" applyFont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64" xfId="0" applyFont="1" applyBorder="1"/>
    <xf numFmtId="0" fontId="4" fillId="0" borderId="63" xfId="0" applyFont="1" applyBorder="1"/>
    <xf numFmtId="0" fontId="7" fillId="0" borderId="60" xfId="0" applyFont="1" applyBorder="1" applyAlignment="1">
      <alignment horizontal="center"/>
    </xf>
    <xf numFmtId="0" fontId="4" fillId="0" borderId="65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1" fontId="4" fillId="5" borderId="0" xfId="0" applyNumberFormat="1" applyFont="1" applyFill="1" applyBorder="1" applyAlignment="1">
      <alignment vertical="center"/>
    </xf>
    <xf numFmtId="49" fontId="4" fillId="5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4" fillId="0" borderId="41" xfId="0" applyFont="1" applyBorder="1" applyAlignment="1"/>
    <xf numFmtId="0" fontId="4" fillId="0" borderId="40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50" xfId="0" applyFont="1" applyBorder="1" applyAlignment="1">
      <alignment horizontal="right"/>
    </xf>
    <xf numFmtId="165" fontId="4" fillId="3" borderId="24" xfId="0" applyNumberFormat="1" applyFont="1" applyFill="1" applyBorder="1" applyAlignment="1"/>
    <xf numFmtId="3" fontId="4" fillId="3" borderId="25" xfId="0" applyNumberFormat="1" applyFont="1" applyFill="1" applyBorder="1"/>
    <xf numFmtId="165" fontId="4" fillId="2" borderId="24" xfId="0" applyNumberFormat="1" applyFont="1" applyFill="1" applyBorder="1" applyAlignment="1">
      <alignment shrinkToFit="1"/>
    </xf>
    <xf numFmtId="165" fontId="4" fillId="2" borderId="25" xfId="0" applyNumberFormat="1" applyFont="1" applyFill="1" applyBorder="1" applyAlignment="1">
      <alignment shrinkToFit="1"/>
    </xf>
    <xf numFmtId="0" fontId="4" fillId="5" borderId="0" xfId="0" applyNumberFormat="1" applyFont="1" applyFill="1" applyBorder="1" applyAlignment="1">
      <alignment horizontal="center"/>
    </xf>
    <xf numFmtId="0" fontId="4" fillId="5" borderId="0" xfId="0" applyNumberFormat="1" applyFont="1" applyFill="1" applyBorder="1" applyAlignment="1"/>
    <xf numFmtId="49" fontId="4" fillId="0" borderId="0" xfId="0" quotePrefix="1" applyNumberFormat="1" applyFont="1" applyBorder="1" applyAlignment="1">
      <alignment horizontal="center"/>
    </xf>
    <xf numFmtId="0" fontId="4" fillId="6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quotePrefix="1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3" fontId="5" fillId="0" borderId="0" xfId="0" applyNumberFormat="1" applyFont="1" applyFill="1"/>
    <xf numFmtId="3" fontId="5" fillId="4" borderId="0" xfId="0" applyNumberFormat="1" applyFont="1" applyFill="1"/>
    <xf numFmtId="3" fontId="5" fillId="2" borderId="0" xfId="0" applyNumberFormat="1" applyFont="1" applyFill="1"/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67" xfId="0" applyFont="1" applyBorder="1"/>
    <xf numFmtId="0" fontId="4" fillId="0" borderId="68" xfId="0" applyFont="1" applyBorder="1"/>
    <xf numFmtId="0" fontId="4" fillId="0" borderId="69" xfId="0" applyFont="1" applyBorder="1"/>
    <xf numFmtId="0" fontId="4" fillId="1" borderId="40" xfId="0" applyFont="1" applyFill="1" applyBorder="1"/>
    <xf numFmtId="0" fontId="6" fillId="2" borderId="53" xfId="0" applyFont="1" applyFill="1" applyBorder="1"/>
    <xf numFmtId="0" fontId="4" fillId="0" borderId="70" xfId="0" applyFont="1" applyBorder="1"/>
    <xf numFmtId="0" fontId="4" fillId="0" borderId="71" xfId="0" applyFont="1" applyBorder="1"/>
    <xf numFmtId="0" fontId="4" fillId="0" borderId="72" xfId="0" applyFont="1" applyBorder="1"/>
    <xf numFmtId="0" fontId="4" fillId="0" borderId="68" xfId="0" applyFont="1" applyBorder="1" applyAlignment="1">
      <alignment horizontal="center" shrinkToFit="1"/>
    </xf>
    <xf numFmtId="0" fontId="4" fillId="1" borderId="72" xfId="0" applyFont="1" applyFill="1" applyBorder="1"/>
    <xf numFmtId="165" fontId="9" fillId="0" borderId="5" xfId="0" applyNumberFormat="1" applyFont="1" applyBorder="1" applyAlignment="1">
      <alignment horizontal="center" shrinkToFit="1"/>
    </xf>
    <xf numFmtId="165" fontId="9" fillId="0" borderId="0" xfId="0" applyNumberFormat="1" applyFont="1" applyBorder="1" applyAlignment="1">
      <alignment horizontal="center" shrinkToFit="1"/>
    </xf>
    <xf numFmtId="165" fontId="4" fillId="0" borderId="68" xfId="0" applyNumberFormat="1" applyFont="1" applyBorder="1" applyAlignment="1">
      <alignment horizontal="center" shrinkToFit="1"/>
    </xf>
    <xf numFmtId="165" fontId="9" fillId="0" borderId="71" xfId="0" applyNumberFormat="1" applyFont="1" applyBorder="1" applyAlignment="1">
      <alignment horizontal="center" shrinkToFit="1"/>
    </xf>
    <xf numFmtId="0" fontId="4" fillId="0" borderId="57" xfId="0" applyFont="1" applyBorder="1" applyAlignment="1"/>
    <xf numFmtId="0" fontId="4" fillId="0" borderId="29" xfId="0" applyFont="1" applyBorder="1" applyAlignment="1"/>
    <xf numFmtId="0" fontId="7" fillId="0" borderId="27" xfId="0" applyFont="1" applyBorder="1" applyAlignment="1">
      <alignment horizontal="center"/>
    </xf>
    <xf numFmtId="0" fontId="4" fillId="0" borderId="24" xfId="0" applyFont="1" applyFill="1" applyBorder="1" applyAlignment="1" applyProtection="1"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7" fillId="0" borderId="28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50" xfId="0" applyFont="1" applyBorder="1" applyAlignment="1">
      <alignment shrinkToFit="1"/>
    </xf>
    <xf numFmtId="0" fontId="4" fillId="0" borderId="54" xfId="0" applyFont="1" applyBorder="1" applyAlignment="1">
      <alignment shrinkToFit="1"/>
    </xf>
    <xf numFmtId="0" fontId="4" fillId="0" borderId="52" xfId="0" applyFont="1" applyFill="1" applyBorder="1" applyAlignment="1" applyProtection="1">
      <protection locked="0"/>
    </xf>
    <xf numFmtId="0" fontId="0" fillId="0" borderId="0" xfId="0"/>
    <xf numFmtId="3" fontId="4" fillId="9" borderId="41" xfId="0" applyNumberFormat="1" applyFont="1" applyFill="1" applyBorder="1"/>
    <xf numFmtId="3" fontId="4" fillId="9" borderId="40" xfId="0" applyNumberFormat="1" applyFont="1" applyFill="1" applyBorder="1"/>
    <xf numFmtId="0" fontId="7" fillId="9" borderId="57" xfId="0" applyFont="1" applyFill="1" applyBorder="1" applyAlignment="1"/>
    <xf numFmtId="0" fontId="4" fillId="9" borderId="29" xfId="0" applyFont="1" applyFill="1" applyBorder="1" applyAlignment="1"/>
    <xf numFmtId="3" fontId="4" fillId="9" borderId="41" xfId="0" applyNumberFormat="1" applyFont="1" applyFill="1" applyBorder="1" applyAlignment="1"/>
    <xf numFmtId="0" fontId="7" fillId="9" borderId="54" xfId="0" applyFont="1" applyFill="1" applyBorder="1" applyAlignment="1">
      <alignment vertical="center"/>
    </xf>
    <xf numFmtId="0" fontId="4" fillId="9" borderId="55" xfId="0" applyFont="1" applyFill="1" applyBorder="1" applyAlignment="1">
      <alignment vertical="center"/>
    </xf>
    <xf numFmtId="3" fontId="4" fillId="9" borderId="56" xfId="0" applyNumberFormat="1" applyFont="1" applyFill="1" applyBorder="1" applyAlignment="1">
      <alignment vertical="center"/>
    </xf>
    <xf numFmtId="3" fontId="4" fillId="8" borderId="0" xfId="0" applyNumberFormat="1" applyFont="1" applyFill="1"/>
    <xf numFmtId="49" fontId="4" fillId="0" borderId="0" xfId="0" quotePrefix="1" applyNumberFormat="1" applyFont="1"/>
    <xf numFmtId="49" fontId="4" fillId="0" borderId="0" xfId="0" applyNumberFormat="1" applyFont="1"/>
    <xf numFmtId="9" fontId="4" fillId="0" borderId="0" xfId="0" applyNumberFormat="1" applyFont="1"/>
    <xf numFmtId="0" fontId="4" fillId="8" borderId="0" xfId="0" applyFont="1" applyFill="1" applyAlignment="1">
      <alignment horizontal="center"/>
    </xf>
    <xf numFmtId="0" fontId="4" fillId="8" borderId="0" xfId="0" applyFont="1" applyFill="1"/>
    <xf numFmtId="9" fontId="4" fillId="8" borderId="0" xfId="0" applyNumberFormat="1" applyFont="1" applyFill="1"/>
    <xf numFmtId="0" fontId="21" fillId="0" borderId="0" xfId="0" applyFont="1"/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8" borderId="0" xfId="0" applyFont="1" applyFill="1" applyAlignment="1">
      <alignment vertical="center" wrapText="1"/>
    </xf>
    <xf numFmtId="0" fontId="22" fillId="0" borderId="0" xfId="0" applyFont="1"/>
    <xf numFmtId="0" fontId="7" fillId="0" borderId="66" xfId="0" applyFont="1" applyBorder="1" applyAlignment="1">
      <alignment vertical="center" wrapText="1"/>
    </xf>
    <xf numFmtId="0" fontId="4" fillId="0" borderId="66" xfId="0" applyFont="1" applyBorder="1" applyAlignment="1">
      <alignment vertical="center" wrapText="1"/>
    </xf>
    <xf numFmtId="0" fontId="4" fillId="8" borderId="66" xfId="0" applyFont="1" applyFill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4" fillId="8" borderId="71" xfId="0" applyFont="1" applyFill="1" applyBorder="1" applyAlignment="1">
      <alignment vertical="center" wrapText="1"/>
    </xf>
    <xf numFmtId="0" fontId="24" fillId="0" borderId="0" xfId="2" applyFont="1" applyAlignment="1" applyProtection="1">
      <alignment vertical="center" wrapText="1"/>
    </xf>
    <xf numFmtId="0" fontId="24" fillId="0" borderId="0" xfId="2" applyFont="1" applyAlignment="1" applyProtection="1">
      <alignment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50" xfId="0" applyFont="1" applyBorder="1" applyAlignment="1" applyProtection="1">
      <alignment vertical="top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Alignment="1" applyProtection="1">
      <alignment shrinkToFit="1"/>
    </xf>
    <xf numFmtId="0" fontId="7" fillId="0" borderId="0" xfId="0" applyFont="1" applyBorder="1"/>
    <xf numFmtId="49" fontId="4" fillId="5" borderId="0" xfId="0" applyNumberFormat="1" applyFont="1" applyFill="1" applyAlignment="1">
      <alignment horizontal="center" vertical="center"/>
    </xf>
    <xf numFmtId="49" fontId="4" fillId="5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0" fontId="4" fillId="0" borderId="0" xfId="0" quotePrefix="1" applyFont="1"/>
    <xf numFmtId="0" fontId="4" fillId="5" borderId="0" xfId="0" quotePrefix="1" applyNumberFormat="1" applyFont="1" applyFill="1" applyBorder="1" applyAlignment="1">
      <alignment horizontal="center" vertical="center"/>
    </xf>
    <xf numFmtId="166" fontId="4" fillId="5" borderId="0" xfId="0" quotePrefix="1" applyNumberFormat="1" applyFont="1" applyFill="1" applyBorder="1" applyAlignment="1">
      <alignment horizontal="center" vertical="center"/>
    </xf>
    <xf numFmtId="49" fontId="4" fillId="5" borderId="0" xfId="0" quotePrefix="1" applyNumberFormat="1" applyFont="1" applyFill="1" applyBorder="1" applyAlignment="1">
      <alignment horizontal="center" vertical="center"/>
    </xf>
    <xf numFmtId="166" fontId="4" fillId="5" borderId="0" xfId="0" applyNumberFormat="1" applyFont="1" applyFill="1" applyBorder="1" applyAlignment="1">
      <alignment horizontal="center" vertical="center"/>
    </xf>
    <xf numFmtId="4" fontId="4" fillId="9" borderId="56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/>
    <xf numFmtId="166" fontId="4" fillId="5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4" fillId="5" borderId="0" xfId="0" quotePrefix="1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/>
    <xf numFmtId="0" fontId="7" fillId="0" borderId="13" xfId="0" applyFont="1" applyBorder="1" applyAlignment="1"/>
    <xf numFmtId="0" fontId="7" fillId="0" borderId="28" xfId="0" applyFont="1" applyBorder="1"/>
    <xf numFmtId="0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4" fillId="9" borderId="37" xfId="0" applyFont="1" applyFill="1" applyBorder="1"/>
    <xf numFmtId="0" fontId="7" fillId="9" borderId="38" xfId="0" applyFont="1" applyFill="1" applyBorder="1"/>
    <xf numFmtId="0" fontId="4" fillId="10" borderId="0" xfId="0" applyFont="1" applyFill="1"/>
    <xf numFmtId="0" fontId="4" fillId="10" borderId="0" xfId="0" quotePrefix="1" applyNumberFormat="1" applyFont="1" applyFill="1" applyAlignment="1">
      <alignment horizontal="center"/>
    </xf>
    <xf numFmtId="0" fontId="4" fillId="7" borderId="0" xfId="0" applyFont="1" applyFill="1"/>
    <xf numFmtId="0" fontId="4" fillId="7" borderId="0" xfId="0" quotePrefix="1" applyNumberFormat="1" applyFont="1" applyFill="1" applyAlignment="1">
      <alignment horizontal="center"/>
    </xf>
    <xf numFmtId="165" fontId="15" fillId="8" borderId="37" xfId="0" applyNumberFormat="1" applyFont="1" applyFill="1" applyBorder="1" applyAlignment="1" applyProtection="1"/>
    <xf numFmtId="165" fontId="17" fillId="8" borderId="1" xfId="0" applyNumberFormat="1" applyFont="1" applyFill="1" applyBorder="1" applyAlignment="1">
      <alignment horizontal="center" vertical="center"/>
    </xf>
    <xf numFmtId="0" fontId="25" fillId="0" borderId="50" xfId="0" applyFont="1" applyBorder="1" applyAlignment="1">
      <alignment shrinkToFit="1"/>
    </xf>
    <xf numFmtId="0" fontId="25" fillId="0" borderId="0" xfId="0" applyFont="1" applyBorder="1"/>
    <xf numFmtId="0" fontId="25" fillId="0" borderId="40" xfId="0" applyFont="1" applyBorder="1"/>
    <xf numFmtId="0" fontId="25" fillId="0" borderId="54" xfId="0" applyFont="1" applyBorder="1" applyAlignment="1">
      <alignment shrinkToFit="1"/>
    </xf>
    <xf numFmtId="0" fontId="25" fillId="0" borderId="55" xfId="0" applyFont="1" applyBorder="1"/>
    <xf numFmtId="0" fontId="25" fillId="0" borderId="56" xfId="0" applyFont="1" applyBorder="1"/>
    <xf numFmtId="0" fontId="4" fillId="0" borderId="40" xfId="0" applyFont="1" applyFill="1" applyBorder="1"/>
    <xf numFmtId="0" fontId="4" fillId="0" borderId="58" xfId="0" applyFont="1" applyFill="1" applyBorder="1"/>
    <xf numFmtId="0" fontId="7" fillId="0" borderId="39" xfId="0" applyFont="1" applyBorder="1" applyAlignment="1" applyProtection="1">
      <alignment horizontal="center"/>
    </xf>
    <xf numFmtId="0" fontId="4" fillId="0" borderId="0" xfId="0" applyFont="1" applyProtection="1"/>
    <xf numFmtId="3" fontId="7" fillId="0" borderId="0" xfId="0" applyNumberFormat="1" applyFont="1" applyProtection="1"/>
    <xf numFmtId="3" fontId="7" fillId="8" borderId="0" xfId="0" applyNumberFormat="1" applyFont="1" applyFill="1" applyProtection="1"/>
    <xf numFmtId="0" fontId="4" fillId="0" borderId="5" xfId="0" applyFont="1" applyBorder="1" applyProtection="1"/>
    <xf numFmtId="3" fontId="7" fillId="0" borderId="5" xfId="0" applyNumberFormat="1" applyFont="1" applyBorder="1" applyProtection="1"/>
    <xf numFmtId="0" fontId="7" fillId="0" borderId="5" xfId="0" applyFont="1" applyBorder="1" applyAlignment="1" applyProtection="1">
      <alignment shrinkToFit="1"/>
    </xf>
    <xf numFmtId="3" fontId="7" fillId="8" borderId="5" xfId="0" applyNumberFormat="1" applyFont="1" applyFill="1" applyBorder="1" applyProtection="1"/>
    <xf numFmtId="3" fontId="7" fillId="0" borderId="5" xfId="0" applyNumberFormat="1" applyFont="1" applyBorder="1" applyAlignment="1" applyProtection="1"/>
    <xf numFmtId="3" fontId="7" fillId="0" borderId="0" xfId="0" applyNumberFormat="1" applyFont="1" applyBorder="1" applyProtection="1"/>
    <xf numFmtId="3" fontId="7" fillId="0" borderId="0" xfId="0" applyNumberFormat="1" applyFont="1" applyBorder="1" applyAlignment="1" applyProtection="1"/>
    <xf numFmtId="3" fontId="7" fillId="0" borderId="39" xfId="0" applyNumberFormat="1" applyFont="1" applyBorder="1" applyAlignment="1" applyProtection="1">
      <alignment horizontal="center"/>
    </xf>
    <xf numFmtId="3" fontId="4" fillId="0" borderId="0" xfId="0" applyNumberFormat="1" applyFont="1" applyProtection="1"/>
    <xf numFmtId="0" fontId="7" fillId="0" borderId="0" xfId="0" applyFont="1" applyProtection="1"/>
    <xf numFmtId="0" fontId="0" fillId="0" borderId="0" xfId="0" applyProtection="1"/>
    <xf numFmtId="0" fontId="7" fillId="3" borderId="0" xfId="0" applyFont="1" applyFill="1" applyAlignment="1" applyProtection="1">
      <alignment shrinkToFit="1"/>
      <protection locked="0"/>
    </xf>
    <xf numFmtId="3" fontId="7" fillId="3" borderId="0" xfId="0" applyNumberFormat="1" applyFont="1" applyFill="1" applyProtection="1">
      <protection locked="0"/>
    </xf>
    <xf numFmtId="3" fontId="7" fillId="3" borderId="5" xfId="0" applyNumberFormat="1" applyFont="1" applyFill="1" applyBorder="1" applyAlignment="1" applyProtection="1">
      <alignment shrinkToFit="1"/>
      <protection locked="0"/>
    </xf>
    <xf numFmtId="3" fontId="7" fillId="3" borderId="0" xfId="0" applyNumberFormat="1" applyFont="1" applyFill="1" applyBorder="1" applyAlignment="1" applyProtection="1">
      <alignment shrinkToFit="1"/>
      <protection locked="0"/>
    </xf>
    <xf numFmtId="3" fontId="7" fillId="3" borderId="39" xfId="0" applyNumberFormat="1" applyFont="1" applyFill="1" applyBorder="1" applyAlignment="1" applyProtection="1">
      <alignment shrinkToFit="1"/>
      <protection locked="0"/>
    </xf>
    <xf numFmtId="0" fontId="7" fillId="3" borderId="5" xfId="0" applyFont="1" applyFill="1" applyBorder="1" applyProtection="1">
      <protection locked="0"/>
    </xf>
    <xf numFmtId="0" fontId="5" fillId="0" borderId="0" xfId="0" applyFont="1"/>
    <xf numFmtId="3" fontId="5" fillId="0" borderId="0" xfId="0" applyNumberFormat="1" applyFont="1"/>
    <xf numFmtId="0" fontId="5" fillId="5" borderId="0" xfId="0" applyFont="1" applyFill="1"/>
    <xf numFmtId="0" fontId="5" fillId="0" borderId="0" xfId="0" applyFont="1" applyFill="1"/>
    <xf numFmtId="0" fontId="5" fillId="0" borderId="0" xfId="0" quotePrefix="1" applyNumberFormat="1" applyFont="1" applyFill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2" borderId="0" xfId="0" applyFont="1" applyFill="1" applyAlignment="1">
      <alignment horizontal="right"/>
    </xf>
    <xf numFmtId="0" fontId="5" fillId="0" borderId="10" xfId="0" applyFont="1" applyBorder="1"/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5" borderId="0" xfId="0" applyFont="1" applyFill="1" applyAlignment="1"/>
    <xf numFmtId="0" fontId="4" fillId="0" borderId="0" xfId="0" applyNumberFormat="1" applyFont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4" fillId="11" borderId="0" xfId="0" applyFont="1" applyFill="1"/>
    <xf numFmtId="0" fontId="4" fillId="12" borderId="0" xfId="0" applyFont="1" applyFill="1"/>
    <xf numFmtId="0" fontId="4" fillId="13" borderId="0" xfId="0" applyFont="1" applyFill="1"/>
    <xf numFmtId="0" fontId="4" fillId="14" borderId="0" xfId="0" applyFont="1" applyFill="1"/>
    <xf numFmtId="0" fontId="4" fillId="15" borderId="0" xfId="0" applyFont="1" applyFill="1"/>
    <xf numFmtId="0" fontId="4" fillId="16" borderId="0" xfId="0" applyFont="1" applyFill="1"/>
    <xf numFmtId="0" fontId="4" fillId="17" borderId="0" xfId="0" applyFont="1" applyFill="1"/>
    <xf numFmtId="0" fontId="4" fillId="0" borderId="50" xfId="0" applyFont="1" applyBorder="1" applyAlignment="1"/>
    <xf numFmtId="0" fontId="4" fillId="0" borderId="40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54" xfId="0" applyFont="1" applyBorder="1" applyAlignment="1"/>
    <xf numFmtId="0" fontId="4" fillId="0" borderId="56" xfId="0" applyFont="1" applyBorder="1" applyAlignment="1"/>
    <xf numFmtId="0" fontId="4" fillId="0" borderId="0" xfId="0" applyFont="1" applyBorder="1" applyAlignment="1"/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5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4" fillId="0" borderId="55" xfId="0" applyFont="1" applyBorder="1" applyAlignment="1"/>
    <xf numFmtId="0" fontId="4" fillId="0" borderId="46" xfId="0" applyFont="1" applyBorder="1" applyAlignment="1"/>
    <xf numFmtId="0" fontId="4" fillId="0" borderId="46" xfId="0" applyFont="1" applyBorder="1" applyAlignment="1">
      <alignment shrinkToFit="1"/>
    </xf>
    <xf numFmtId="0" fontId="7" fillId="0" borderId="31" xfId="0" applyFont="1" applyBorder="1"/>
    <xf numFmtId="0" fontId="7" fillId="0" borderId="35" xfId="0" applyFont="1" applyBorder="1"/>
    <xf numFmtId="0" fontId="7" fillId="0" borderId="0" xfId="0" applyFont="1" applyBorder="1" applyAlignment="1" applyProtection="1"/>
    <xf numFmtId="3" fontId="7" fillId="0" borderId="0" xfId="0" applyNumberFormat="1" applyFont="1" applyBorder="1" applyAlignment="1" applyProtection="1"/>
    <xf numFmtId="3" fontId="7" fillId="0" borderId="39" xfId="0" applyNumberFormat="1" applyFont="1" applyBorder="1" applyAlignment="1" applyProtection="1">
      <alignment horizontal="center"/>
    </xf>
    <xf numFmtId="3" fontId="7" fillId="3" borderId="0" xfId="0" applyNumberFormat="1" applyFont="1" applyFill="1" applyAlignment="1" applyProtection="1">
      <alignment shrinkToFit="1"/>
      <protection locked="0"/>
    </xf>
    <xf numFmtId="0" fontId="7" fillId="0" borderId="5" xfId="0" applyFont="1" applyBorder="1" applyAlignment="1" applyProtection="1"/>
    <xf numFmtId="3" fontId="4" fillId="0" borderId="5" xfId="0" applyNumberFormat="1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center"/>
    </xf>
    <xf numFmtId="3" fontId="7" fillId="0" borderId="0" xfId="0" applyNumberFormat="1" applyFont="1" applyAlignment="1" applyProtection="1">
      <alignment horizontal="center"/>
    </xf>
    <xf numFmtId="3" fontId="7" fillId="0" borderId="0" xfId="0" applyNumberFormat="1" applyFont="1" applyFill="1" applyAlignment="1" applyProtection="1">
      <alignment horizontal="center"/>
    </xf>
    <xf numFmtId="3" fontId="7" fillId="3" borderId="5" xfId="0" applyNumberFormat="1" applyFont="1" applyFill="1" applyBorder="1" applyAlignment="1" applyProtection="1">
      <alignment shrinkToFit="1"/>
      <protection locked="0"/>
    </xf>
    <xf numFmtId="0" fontId="4" fillId="2" borderId="36" xfId="0" applyFont="1" applyFill="1" applyBorder="1" applyAlignment="1"/>
    <xf numFmtId="0" fontId="4" fillId="2" borderId="37" xfId="0" applyFont="1" applyFill="1" applyBorder="1" applyAlignment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165" fontId="9" fillId="2" borderId="73" xfId="0" applyNumberFormat="1" applyFont="1" applyFill="1" applyBorder="1" applyAlignment="1">
      <alignment horizontal="center"/>
    </xf>
    <xf numFmtId="0" fontId="7" fillId="0" borderId="15" xfId="0" applyFont="1" applyFill="1" applyBorder="1" applyAlignment="1"/>
    <xf numFmtId="0" fontId="7" fillId="0" borderId="13" xfId="0" applyFont="1" applyFill="1" applyBorder="1" applyAlignment="1"/>
    <xf numFmtId="0" fontId="7" fillId="0" borderId="16" xfId="0" applyFont="1" applyFill="1" applyBorder="1" applyAlignment="1"/>
    <xf numFmtId="0" fontId="7" fillId="0" borderId="23" xfId="0" applyFont="1" applyFill="1" applyBorder="1" applyAlignment="1"/>
    <xf numFmtId="0" fontId="7" fillId="0" borderId="24" xfId="0" applyFont="1" applyFill="1" applyBorder="1" applyAlignment="1"/>
    <xf numFmtId="3" fontId="7" fillId="2" borderId="2" xfId="0" applyNumberFormat="1" applyFont="1" applyFill="1" applyBorder="1" applyAlignment="1"/>
    <xf numFmtId="3" fontId="7" fillId="2" borderId="3" xfId="0" applyNumberFormat="1" applyFont="1" applyFill="1" applyBorder="1" applyAlignment="1"/>
    <xf numFmtId="3" fontId="7" fillId="2" borderId="27" xfId="0" applyNumberFormat="1" applyFont="1" applyFill="1" applyBorder="1" applyAlignment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165" fontId="7" fillId="2" borderId="28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4" fillId="2" borderId="61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165" fontId="7" fillId="2" borderId="2" xfId="0" applyNumberFormat="1" applyFont="1" applyFill="1" applyBorder="1" applyAlignment="1"/>
    <xf numFmtId="165" fontId="7" fillId="2" borderId="27" xfId="0" applyNumberFormat="1" applyFont="1" applyFill="1" applyBorder="1" applyAlignment="1"/>
    <xf numFmtId="165" fontId="7" fillId="3" borderId="28" xfId="0" applyNumberFormat="1" applyFont="1" applyFill="1" applyBorder="1" applyAlignment="1" applyProtection="1">
      <protection locked="0"/>
    </xf>
    <xf numFmtId="165" fontId="7" fillId="3" borderId="61" xfId="0" applyNumberFormat="1" applyFont="1" applyFill="1" applyBorder="1" applyAlignment="1" applyProtection="1">
      <protection locked="0"/>
    </xf>
    <xf numFmtId="165" fontId="7" fillId="3" borderId="2" xfId="0" applyNumberFormat="1" applyFont="1" applyFill="1" applyBorder="1" applyAlignment="1" applyProtection="1">
      <protection locked="0"/>
    </xf>
    <xf numFmtId="165" fontId="7" fillId="3" borderId="27" xfId="0" applyNumberFormat="1" applyFont="1" applyFill="1" applyBorder="1" applyAlignment="1" applyProtection="1">
      <protection locked="0"/>
    </xf>
    <xf numFmtId="0" fontId="4" fillId="2" borderId="12" xfId="0" applyFont="1" applyFill="1" applyBorder="1" applyAlignment="1">
      <alignment shrinkToFit="1"/>
    </xf>
    <xf numFmtId="0" fontId="4" fillId="2" borderId="13" xfId="0" applyFont="1" applyFill="1" applyBorder="1" applyAlignment="1">
      <alignment shrinkToFit="1"/>
    </xf>
    <xf numFmtId="0" fontId="4" fillId="2" borderId="14" xfId="0" applyFont="1" applyFill="1" applyBorder="1" applyAlignment="1">
      <alignment shrinkToFit="1"/>
    </xf>
    <xf numFmtId="3" fontId="4" fillId="2" borderId="15" xfId="0" applyNumberFormat="1" applyFont="1" applyFill="1" applyBorder="1" applyAlignment="1"/>
    <xf numFmtId="3" fontId="4" fillId="2" borderId="16" xfId="0" applyNumberFormat="1" applyFont="1" applyFill="1" applyBorder="1" applyAlignment="1"/>
    <xf numFmtId="0" fontId="4" fillId="2" borderId="12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165" fontId="7" fillId="8" borderId="37" xfId="0" applyNumberFormat="1" applyFont="1" applyFill="1" applyBorder="1" applyAlignment="1"/>
    <xf numFmtId="165" fontId="7" fillId="8" borderId="38" xfId="0" applyNumberFormat="1" applyFont="1" applyFill="1" applyBorder="1" applyAlignment="1"/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/>
    <xf numFmtId="0" fontId="4" fillId="2" borderId="20" xfId="0" applyFont="1" applyFill="1" applyBorder="1" applyAlignment="1"/>
    <xf numFmtId="0" fontId="4" fillId="2" borderId="18" xfId="0" applyFont="1" applyFill="1" applyBorder="1" applyAlignment="1"/>
    <xf numFmtId="0" fontId="4" fillId="2" borderId="49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8" borderId="28" xfId="0" applyFont="1" applyFill="1" applyBorder="1" applyAlignment="1">
      <alignment horizontal="center" vertical="center" shrinkToFit="1"/>
    </xf>
    <xf numFmtId="0" fontId="4" fillId="8" borderId="61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/>
    <xf numFmtId="0" fontId="4" fillId="2" borderId="60" xfId="0" applyFont="1" applyFill="1" applyBorder="1" applyAlignment="1">
      <alignment horizontal="center"/>
    </xf>
    <xf numFmtId="165" fontId="8" fillId="0" borderId="2" xfId="0" applyNumberFormat="1" applyFont="1" applyBorder="1" applyAlignment="1"/>
    <xf numFmtId="165" fontId="8" fillId="0" borderId="27" xfId="0" applyNumberFormat="1" applyFont="1" applyBorder="1" applyAlignment="1"/>
    <xf numFmtId="0" fontId="4" fillId="2" borderId="1" xfId="0" applyFont="1" applyFill="1" applyBorder="1" applyAlignment="1">
      <alignment horizontal="left"/>
    </xf>
    <xf numFmtId="0" fontId="4" fillId="2" borderId="49" xfId="0" applyFont="1" applyFill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4" fillId="2" borderId="52" xfId="0" applyFont="1" applyFill="1" applyBorder="1" applyAlignment="1">
      <alignment horizontal="center"/>
    </xf>
    <xf numFmtId="0" fontId="7" fillId="3" borderId="52" xfId="0" applyFont="1" applyFill="1" applyBorder="1" applyAlignment="1" applyProtection="1">
      <alignment horizontal="center"/>
      <protection locked="0"/>
    </xf>
    <xf numFmtId="0" fontId="7" fillId="3" borderId="53" xfId="0" applyFont="1" applyFill="1" applyBorder="1" applyAlignment="1" applyProtection="1">
      <alignment horizontal="center"/>
      <protection locked="0"/>
    </xf>
    <xf numFmtId="0" fontId="7" fillId="3" borderId="15" xfId="0" applyFont="1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/>
    </xf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166" fontId="10" fillId="2" borderId="37" xfId="0" applyNumberFormat="1" applyFont="1" applyFill="1" applyBorder="1" applyAlignment="1">
      <alignment horizontal="center"/>
    </xf>
    <xf numFmtId="166" fontId="10" fillId="2" borderId="38" xfId="0" applyNumberFormat="1" applyFont="1" applyFill="1" applyBorder="1" applyAlignment="1">
      <alignment horizontal="center"/>
    </xf>
    <xf numFmtId="0" fontId="7" fillId="3" borderId="3" xfId="0" applyFont="1" applyFill="1" applyBorder="1" applyAlignment="1" applyProtection="1">
      <protection locked="0"/>
    </xf>
    <xf numFmtId="0" fontId="7" fillId="3" borderId="27" xfId="0" applyFont="1" applyFill="1" applyBorder="1" applyAlignment="1" applyProtection="1">
      <protection locked="0"/>
    </xf>
    <xf numFmtId="0" fontId="4" fillId="2" borderId="1" xfId="0" applyFont="1" applyFill="1" applyBorder="1" applyAlignment="1"/>
    <xf numFmtId="0" fontId="4" fillId="2" borderId="51" xfId="0" applyFont="1" applyFill="1" applyBorder="1" applyAlignment="1">
      <alignment horizontal="center"/>
    </xf>
    <xf numFmtId="0" fontId="7" fillId="3" borderId="2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0" fillId="0" borderId="4" xfId="0" applyBorder="1" applyAlignment="1" applyProtection="1">
      <alignment shrinkToFit="1"/>
      <protection locked="0"/>
    </xf>
    <xf numFmtId="0" fontId="7" fillId="3" borderId="3" xfId="0" applyFont="1" applyFill="1" applyBorder="1" applyAlignment="1" applyProtection="1"/>
    <xf numFmtId="0" fontId="7" fillId="3" borderId="27" xfId="0" applyFont="1" applyFill="1" applyBorder="1" applyAlignment="1" applyProtection="1"/>
    <xf numFmtId="0" fontId="7" fillId="3" borderId="22" xfId="0" applyFont="1" applyFill="1" applyBorder="1" applyAlignment="1" applyProtection="1">
      <alignment horizontal="center"/>
      <protection locked="0"/>
    </xf>
    <xf numFmtId="169" fontId="7" fillId="3" borderId="1" xfId="0" applyNumberFormat="1" applyFont="1" applyFill="1" applyBorder="1" applyAlignment="1" applyProtection="1">
      <alignment horizontal="center"/>
      <protection locked="0"/>
    </xf>
    <xf numFmtId="169" fontId="7" fillId="3" borderId="28" xfId="0" applyNumberFormat="1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shrinkToFit="1"/>
    </xf>
    <xf numFmtId="0" fontId="0" fillId="0" borderId="3" xfId="0" applyBorder="1" applyAlignment="1" applyProtection="1">
      <alignment shrinkToFit="1"/>
    </xf>
    <xf numFmtId="0" fontId="0" fillId="0" borderId="4" xfId="0" applyBorder="1" applyAlignment="1" applyProtection="1">
      <alignment shrinkToFit="1"/>
    </xf>
    <xf numFmtId="0" fontId="7" fillId="3" borderId="7" xfId="0" applyFont="1" applyFill="1" applyBorder="1" applyAlignment="1" applyProtection="1">
      <protection locked="0"/>
    </xf>
    <xf numFmtId="0" fontId="7" fillId="3" borderId="5" xfId="0" applyFont="1" applyFill="1" applyBorder="1" applyAlignment="1" applyProtection="1">
      <protection locked="0"/>
    </xf>
    <xf numFmtId="0" fontId="7" fillId="3" borderId="30" xfId="0" applyFont="1" applyFill="1" applyBorder="1" applyAlignment="1" applyProtection="1">
      <protection locked="0"/>
    </xf>
    <xf numFmtId="0" fontId="4" fillId="2" borderId="49" xfId="0" applyFont="1" applyFill="1" applyBorder="1" applyAlignment="1"/>
    <xf numFmtId="0" fontId="4" fillId="2" borderId="4" xfId="0" applyFont="1" applyFill="1" applyBorder="1" applyAlignment="1"/>
    <xf numFmtId="167" fontId="7" fillId="3" borderId="2" xfId="0" applyNumberFormat="1" applyFont="1" applyFill="1" applyBorder="1" applyAlignment="1" applyProtection="1">
      <alignment horizontal="center"/>
      <protection locked="0"/>
    </xf>
    <xf numFmtId="167" fontId="7" fillId="3" borderId="3" xfId="0" applyNumberFormat="1" applyFont="1" applyFill="1" applyBorder="1" applyAlignment="1" applyProtection="1">
      <alignment horizontal="center"/>
      <protection locked="0"/>
    </xf>
    <xf numFmtId="167" fontId="7" fillId="3" borderId="4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168" fontId="7" fillId="3" borderId="22" xfId="0" applyNumberFormat="1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shrinkToFit="1"/>
      <protection locked="0"/>
    </xf>
    <xf numFmtId="0" fontId="7" fillId="3" borderId="4" xfId="0" applyFont="1" applyFill="1" applyBorder="1" applyAlignment="1" applyProtection="1">
      <alignment shrinkToFit="1"/>
      <protection locked="0"/>
    </xf>
    <xf numFmtId="0" fontId="12" fillId="2" borderId="2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</xf>
    <xf numFmtId="0" fontId="7" fillId="3" borderId="28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/>
    <xf numFmtId="0" fontId="7" fillId="3" borderId="27" xfId="0" applyFont="1" applyFill="1" applyBorder="1" applyAlignment="1" applyProtection="1">
      <alignment shrinkToFit="1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3" fontId="7" fillId="2" borderId="28" xfId="0" applyNumberFormat="1" applyFont="1" applyFill="1" applyBorder="1" applyAlignment="1"/>
    <xf numFmtId="3" fontId="7" fillId="2" borderId="61" xfId="0" applyNumberFormat="1" applyFont="1" applyFill="1" applyBorder="1" applyAlignment="1"/>
    <xf numFmtId="0" fontId="4" fillId="3" borderId="15" xfId="0" applyFont="1" applyFill="1" applyBorder="1" applyAlignment="1" applyProtection="1">
      <protection locked="0"/>
    </xf>
    <xf numFmtId="0" fontId="4" fillId="3" borderId="13" xfId="0" applyFont="1" applyFill="1" applyBorder="1" applyAlignment="1" applyProtection="1">
      <protection locked="0"/>
    </xf>
    <xf numFmtId="0" fontId="4" fillId="3" borderId="14" xfId="0" applyFont="1" applyFill="1" applyBorder="1" applyAlignment="1" applyProtection="1">
      <protection locked="0"/>
    </xf>
    <xf numFmtId="0" fontId="4" fillId="2" borderId="15" xfId="0" applyFont="1" applyFill="1" applyBorder="1" applyAlignment="1"/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0" fontId="7" fillId="3" borderId="30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165" fontId="5" fillId="2" borderId="2" xfId="0" applyNumberFormat="1" applyFont="1" applyFill="1" applyBorder="1" applyAlignment="1">
      <alignment vertical="center" wrapText="1"/>
    </xf>
    <xf numFmtId="165" fontId="5" fillId="2" borderId="3" xfId="0" applyNumberFormat="1" applyFont="1" applyFill="1" applyBorder="1" applyAlignment="1">
      <alignment vertical="center" wrapText="1"/>
    </xf>
    <xf numFmtId="165" fontId="5" fillId="2" borderId="4" xfId="0" applyNumberFormat="1" applyFont="1" applyFill="1" applyBorder="1" applyAlignment="1">
      <alignment vertical="center" wrapText="1"/>
    </xf>
    <xf numFmtId="0" fontId="4" fillId="2" borderId="49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6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165" fontId="4" fillId="0" borderId="15" xfId="0" applyNumberFormat="1" applyFont="1" applyBorder="1" applyAlignment="1" applyProtection="1">
      <protection locked="0"/>
    </xf>
    <xf numFmtId="165" fontId="4" fillId="0" borderId="16" xfId="0" applyNumberFormat="1" applyFont="1" applyBorder="1" applyAlignment="1" applyProtection="1">
      <protection locked="0"/>
    </xf>
    <xf numFmtId="165" fontId="4" fillId="0" borderId="52" xfId="0" applyNumberFormat="1" applyFont="1" applyBorder="1" applyAlignment="1" applyProtection="1">
      <protection locked="0"/>
    </xf>
    <xf numFmtId="165" fontId="4" fillId="0" borderId="53" xfId="0" applyNumberFormat="1" applyFont="1" applyBorder="1" applyAlignment="1" applyProtection="1">
      <protection locked="0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6" fillId="2" borderId="4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16" fillId="8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 applyProtection="1">
      <alignment shrinkToFit="1"/>
      <protection locked="0"/>
    </xf>
    <xf numFmtId="0" fontId="4" fillId="3" borderId="3" xfId="0" applyFont="1" applyFill="1" applyBorder="1" applyAlignment="1" applyProtection="1">
      <alignment shrinkToFit="1"/>
      <protection locked="0"/>
    </xf>
    <xf numFmtId="165" fontId="4" fillId="8" borderId="2" xfId="0" applyNumberFormat="1" applyFont="1" applyFill="1" applyBorder="1" applyAlignment="1">
      <alignment horizontal="center" shrinkToFit="1"/>
    </xf>
    <xf numFmtId="165" fontId="4" fillId="8" borderId="4" xfId="0" applyNumberFormat="1" applyFont="1" applyFill="1" applyBorder="1" applyAlignment="1">
      <alignment horizontal="center" shrinkToFit="1"/>
    </xf>
    <xf numFmtId="0" fontId="8" fillId="2" borderId="1" xfId="0" applyFont="1" applyFill="1" applyBorder="1" applyAlignment="1">
      <alignment vertical="center" wrapText="1"/>
    </xf>
    <xf numFmtId="165" fontId="5" fillId="2" borderId="3" xfId="0" applyNumberFormat="1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62" xfId="0" applyFont="1" applyFill="1" applyBorder="1" applyAlignment="1">
      <alignment horizontal="left"/>
    </xf>
    <xf numFmtId="0" fontId="4" fillId="2" borderId="36" xfId="0" applyFont="1" applyFill="1" applyBorder="1" applyAlignment="1">
      <alignment horizontal="left"/>
    </xf>
    <xf numFmtId="165" fontId="7" fillId="2" borderId="38" xfId="0" applyNumberFormat="1" applyFont="1" applyFill="1" applyBorder="1" applyAlignment="1"/>
    <xf numFmtId="165" fontId="7" fillId="2" borderId="62" xfId="0" applyNumberFormat="1" applyFont="1" applyFill="1" applyBorder="1" applyAlignment="1"/>
    <xf numFmtId="165" fontId="7" fillId="2" borderId="19" xfId="0" applyNumberFormat="1" applyFont="1" applyFill="1" applyBorder="1" applyAlignment="1"/>
    <xf numFmtId="165" fontId="7" fillId="2" borderId="21" xfId="0" applyNumberFormat="1" applyFont="1" applyFill="1" applyBorder="1" applyAlignment="1"/>
    <xf numFmtId="0" fontId="4" fillId="8" borderId="1" xfId="0" applyFont="1" applyFill="1" applyBorder="1" applyAlignment="1">
      <alignment horizontal="center"/>
    </xf>
    <xf numFmtId="0" fontId="4" fillId="8" borderId="28" xfId="0" applyFont="1" applyFill="1" applyBorder="1" applyAlignment="1">
      <alignment horizontal="center"/>
    </xf>
    <xf numFmtId="0" fontId="4" fillId="0" borderId="26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2" borderId="1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vertical="center" shrinkToFit="1"/>
      <protection locked="0"/>
    </xf>
    <xf numFmtId="0" fontId="4" fillId="0" borderId="48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26" xfId="0" applyFont="1" applyFill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 applyProtection="1">
      <alignment vertical="center" shrinkToFit="1"/>
      <protection locked="0"/>
    </xf>
    <xf numFmtId="0" fontId="4" fillId="0" borderId="36" xfId="0" applyFont="1" applyBorder="1" applyAlignment="1" applyProtection="1">
      <alignment vertical="center" shrinkToFit="1"/>
      <protection locked="0"/>
    </xf>
    <xf numFmtId="0" fontId="4" fillId="0" borderId="37" xfId="0" applyFont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>
      <alignment horizontal="center" shrinkToFit="1"/>
    </xf>
    <xf numFmtId="0" fontId="4" fillId="2" borderId="24" xfId="0" applyFont="1" applyFill="1" applyBorder="1" applyAlignment="1">
      <alignment horizontal="center" shrinkToFit="1"/>
    </xf>
    <xf numFmtId="165" fontId="4" fillId="2" borderId="24" xfId="0" applyNumberFormat="1" applyFont="1" applyFill="1" applyBorder="1" applyAlignment="1">
      <alignment horizontal="center" shrinkToFit="1"/>
    </xf>
    <xf numFmtId="165" fontId="4" fillId="2" borderId="25" xfId="0" applyNumberFormat="1" applyFont="1" applyFill="1" applyBorder="1" applyAlignment="1">
      <alignment horizontal="center" shrinkToFit="1"/>
    </xf>
    <xf numFmtId="165" fontId="4" fillId="2" borderId="23" xfId="0" applyNumberFormat="1" applyFont="1" applyFill="1" applyBorder="1" applyAlignment="1">
      <alignment horizontal="center" shrinkToFit="1"/>
    </xf>
    <xf numFmtId="0" fontId="4" fillId="0" borderId="1" xfId="0" quotePrefix="1" applyFont="1" applyBorder="1" applyAlignment="1" applyProtection="1">
      <alignment horizontal="center" vertical="center" shrinkToFit="1"/>
      <protection locked="0"/>
    </xf>
    <xf numFmtId="9" fontId="4" fillId="0" borderId="1" xfId="0" applyNumberFormat="1" applyFont="1" applyBorder="1" applyAlignment="1" applyProtection="1">
      <alignment horizontal="center" vertical="center" shrinkToFit="1"/>
      <protection locked="0"/>
    </xf>
    <xf numFmtId="9" fontId="4" fillId="0" borderId="28" xfId="0" applyNumberFormat="1" applyFont="1" applyBorder="1" applyAlignment="1" applyProtection="1">
      <alignment horizontal="center" vertical="center" shrinkToFit="1"/>
      <protection locked="0"/>
    </xf>
    <xf numFmtId="4" fontId="15" fillId="0" borderId="1" xfId="0" applyNumberFormat="1" applyFont="1" applyBorder="1" applyAlignment="1">
      <alignment vertical="center"/>
    </xf>
    <xf numFmtId="0" fontId="15" fillId="0" borderId="1" xfId="0" applyNumberFormat="1" applyFont="1" applyBorder="1" applyAlignment="1" applyProtection="1">
      <alignment horizontal="center" vertical="center" shrinkToFit="1"/>
      <protection locked="0"/>
    </xf>
    <xf numFmtId="0" fontId="15" fillId="0" borderId="28" xfId="0" applyNumberFormat="1" applyFont="1" applyBorder="1" applyAlignment="1" applyProtection="1">
      <alignment horizontal="center" vertical="center" shrinkToFit="1"/>
      <protection locked="0"/>
    </xf>
    <xf numFmtId="0" fontId="15" fillId="0" borderId="26" xfId="0" applyNumberFormat="1" applyFont="1" applyBorder="1" applyAlignment="1" applyProtection="1">
      <alignment vertical="center" shrinkToFit="1"/>
      <protection locked="0"/>
    </xf>
    <xf numFmtId="0" fontId="15" fillId="0" borderId="1" xfId="0" applyNumberFormat="1" applyFont="1" applyBorder="1" applyAlignment="1" applyProtection="1">
      <alignment vertical="center" shrinkToFit="1"/>
      <protection locked="0"/>
    </xf>
    <xf numFmtId="3" fontId="15" fillId="0" borderId="1" xfId="0" applyNumberFormat="1" applyFont="1" applyBorder="1" applyAlignment="1" applyProtection="1">
      <alignment vertical="center"/>
      <protection locked="0"/>
    </xf>
    <xf numFmtId="4" fontId="15" fillId="0" borderId="1" xfId="0" applyNumberFormat="1" applyFont="1" applyBorder="1" applyAlignment="1" applyProtection="1">
      <alignment vertical="center"/>
      <protection locked="0"/>
    </xf>
    <xf numFmtId="0" fontId="15" fillId="0" borderId="49" xfId="0" applyNumberFormat="1" applyFont="1" applyBorder="1" applyAlignment="1" applyProtection="1">
      <alignment vertical="center" shrinkToFit="1"/>
      <protection locked="0"/>
    </xf>
    <xf numFmtId="0" fontId="15" fillId="0" borderId="3" xfId="0" applyNumberFormat="1" applyFont="1" applyBorder="1" applyAlignment="1" applyProtection="1">
      <alignment vertical="center" shrinkToFit="1"/>
      <protection locked="0"/>
    </xf>
    <xf numFmtId="0" fontId="15" fillId="0" borderId="4" xfId="0" applyNumberFormat="1" applyFont="1" applyBorder="1" applyAlignment="1" applyProtection="1">
      <alignment vertical="center" shrinkToFit="1"/>
      <protection locked="0"/>
    </xf>
    <xf numFmtId="3" fontId="15" fillId="0" borderId="2" xfId="0" applyNumberFormat="1" applyFont="1" applyBorder="1" applyAlignment="1" applyProtection="1">
      <alignment vertical="center"/>
      <protection locked="0"/>
    </xf>
    <xf numFmtId="3" fontId="15" fillId="0" borderId="4" xfId="0" applyNumberFormat="1" applyFont="1" applyBorder="1" applyAlignment="1" applyProtection="1">
      <alignment vertical="center"/>
      <protection locked="0"/>
    </xf>
    <xf numFmtId="4" fontId="15" fillId="0" borderId="2" xfId="0" applyNumberFormat="1" applyFont="1" applyBorder="1" applyAlignment="1" applyProtection="1">
      <alignment vertical="center"/>
      <protection locked="0"/>
    </xf>
    <xf numFmtId="4" fontId="15" fillId="0" borderId="3" xfId="0" applyNumberFormat="1" applyFont="1" applyBorder="1" applyAlignment="1" applyProtection="1">
      <alignment vertical="center"/>
      <protection locked="0"/>
    </xf>
    <xf numFmtId="4" fontId="15" fillId="0" borderId="4" xfId="0" applyNumberFormat="1" applyFont="1" applyBorder="1" applyAlignment="1" applyProtection="1">
      <alignment vertical="center"/>
      <protection locked="0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15" fillId="0" borderId="74" xfId="0" applyNumberFormat="1" applyFont="1" applyBorder="1" applyAlignment="1" applyProtection="1">
      <alignment vertical="center" shrinkToFit="1"/>
      <protection locked="0"/>
    </xf>
    <xf numFmtId="0" fontId="15" fillId="0" borderId="22" xfId="0" applyNumberFormat="1" applyFont="1" applyBorder="1" applyAlignment="1" applyProtection="1">
      <alignment vertical="center" shrinkToFit="1"/>
      <protection locked="0"/>
    </xf>
    <xf numFmtId="3" fontId="15" fillId="0" borderId="22" xfId="0" applyNumberFormat="1" applyFont="1" applyBorder="1" applyAlignment="1" applyProtection="1">
      <alignment vertical="center"/>
      <protection locked="0"/>
    </xf>
    <xf numFmtId="4" fontId="15" fillId="0" borderId="22" xfId="0" applyNumberFormat="1" applyFont="1" applyBorder="1" applyAlignment="1" applyProtection="1">
      <alignment vertical="center"/>
      <protection locked="0"/>
    </xf>
    <xf numFmtId="4" fontId="15" fillId="0" borderId="22" xfId="0" applyNumberFormat="1" applyFont="1" applyBorder="1" applyAlignment="1">
      <alignment vertical="center"/>
    </xf>
    <xf numFmtId="0" fontId="15" fillId="0" borderId="22" xfId="0" applyNumberFormat="1" applyFont="1" applyBorder="1" applyAlignment="1" applyProtection="1">
      <alignment horizontal="center" vertical="center" shrinkToFit="1"/>
      <protection locked="0"/>
    </xf>
    <xf numFmtId="0" fontId="15" fillId="0" borderId="75" xfId="0" applyNumberFormat="1" applyFont="1" applyBorder="1" applyAlignment="1" applyProtection="1">
      <alignment horizontal="center" vertical="center" shrinkToFit="1"/>
      <protection locked="0"/>
    </xf>
    <xf numFmtId="4" fontId="4" fillId="0" borderId="50" xfId="0" applyNumberFormat="1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40" xfId="0" applyFont="1" applyBorder="1" applyAlignment="1" applyProtection="1">
      <alignment vertical="top"/>
    </xf>
    <xf numFmtId="0" fontId="7" fillId="2" borderId="23" xfId="0" applyFont="1" applyFill="1" applyBorder="1" applyAlignment="1" applyProtection="1">
      <alignment horizontal="center"/>
    </xf>
    <xf numFmtId="0" fontId="7" fillId="2" borderId="24" xfId="0" applyFont="1" applyFill="1" applyBorder="1" applyAlignment="1" applyProtection="1">
      <alignment horizontal="center"/>
    </xf>
    <xf numFmtId="0" fontId="7" fillId="2" borderId="25" xfId="0" applyFont="1" applyFill="1" applyBorder="1" applyAlignment="1" applyProtection="1">
      <alignment horizontal="center"/>
    </xf>
    <xf numFmtId="0" fontId="15" fillId="0" borderId="37" xfId="0" applyFont="1" applyBorder="1" applyAlignment="1"/>
    <xf numFmtId="0" fontId="15" fillId="0" borderId="38" xfId="0" applyFont="1" applyBorder="1" applyAlignment="1"/>
    <xf numFmtId="4" fontId="15" fillId="0" borderId="18" xfId="0" applyNumberFormat="1" applyFont="1" applyFill="1" applyBorder="1" applyAlignment="1"/>
    <xf numFmtId="0" fontId="15" fillId="0" borderId="37" xfId="0" applyFont="1" applyFill="1" applyBorder="1" applyAlignment="1"/>
    <xf numFmtId="0" fontId="15" fillId="0" borderId="13" xfId="0" applyFont="1" applyFill="1" applyBorder="1" applyAlignment="1"/>
    <xf numFmtId="0" fontId="15" fillId="0" borderId="16" xfId="0" applyFont="1" applyFill="1" applyBorder="1" applyAlignment="1"/>
    <xf numFmtId="4" fontId="15" fillId="0" borderId="13" xfId="0" applyNumberFormat="1" applyFont="1" applyFill="1" applyBorder="1" applyAlignment="1"/>
    <xf numFmtId="0" fontId="4" fillId="0" borderId="13" xfId="0" applyFont="1" applyFill="1" applyBorder="1" applyAlignment="1"/>
    <xf numFmtId="0" fontId="4" fillId="0" borderId="50" xfId="0" applyFont="1" applyBorder="1" applyAlignment="1" applyProtection="1">
      <alignment vertical="top"/>
    </xf>
    <xf numFmtId="0" fontId="7" fillId="2" borderId="26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2" borderId="28" xfId="0" applyFont="1" applyFill="1" applyBorder="1" applyAlignment="1" applyProtection="1">
      <alignment horizontal="center"/>
    </xf>
    <xf numFmtId="0" fontId="7" fillId="0" borderId="5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7" fillId="0" borderId="40" xfId="0" applyFont="1" applyBorder="1" applyAlignment="1" applyProtection="1">
      <alignment vertical="center" shrinkToFit="1"/>
    </xf>
    <xf numFmtId="0" fontId="4" fillId="2" borderId="25" xfId="0" applyFont="1" applyFill="1" applyBorder="1" applyAlignment="1">
      <alignment horizontal="center" shrinkToFit="1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5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0" xfId="0" applyFont="1" applyBorder="1" applyAlignment="1" applyProtection="1">
      <alignment vertical="top"/>
      <protection locked="0"/>
    </xf>
    <xf numFmtId="0" fontId="4" fillId="2" borderId="8" xfId="0" applyFont="1" applyFill="1" applyBorder="1" applyAlignment="1"/>
    <xf numFmtId="0" fontId="4" fillId="2" borderId="22" xfId="0" applyFont="1" applyFill="1" applyBorder="1" applyAlignment="1"/>
    <xf numFmtId="0" fontId="4" fillId="2" borderId="37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3" fontId="4" fillId="3" borderId="2" xfId="0" applyNumberFormat="1" applyFont="1" applyFill="1" applyBorder="1" applyAlignment="1" applyProtection="1">
      <protection locked="0"/>
    </xf>
    <xf numFmtId="3" fontId="4" fillId="3" borderId="27" xfId="0" applyNumberFormat="1" applyFont="1" applyFill="1" applyBorder="1" applyAlignment="1" applyProtection="1">
      <protection locked="0"/>
    </xf>
    <xf numFmtId="3" fontId="4" fillId="2" borderId="37" xfId="0" applyNumberFormat="1" applyFont="1" applyFill="1" applyBorder="1" applyAlignment="1"/>
    <xf numFmtId="3" fontId="4" fillId="2" borderId="38" xfId="0" applyNumberFormat="1" applyFont="1" applyFill="1" applyBorder="1" applyAlignment="1"/>
    <xf numFmtId="4" fontId="15" fillId="8" borderId="17" xfId="0" applyNumberFormat="1" applyFont="1" applyFill="1" applyBorder="1" applyAlignment="1"/>
    <xf numFmtId="4" fontId="15" fillId="8" borderId="20" xfId="0" applyNumberFormat="1" applyFont="1" applyFill="1" applyBorder="1" applyAlignment="1"/>
    <xf numFmtId="4" fontId="15" fillId="8" borderId="21" xfId="0" applyNumberFormat="1" applyFont="1" applyFill="1" applyBorder="1" applyAlignment="1"/>
    <xf numFmtId="0" fontId="4" fillId="2" borderId="26" xfId="0" applyFont="1" applyFill="1" applyBorder="1" applyAlignment="1"/>
    <xf numFmtId="165" fontId="5" fillId="2" borderId="5" xfId="0" applyNumberFormat="1" applyFont="1" applyFill="1" applyBorder="1" applyAlignment="1">
      <alignment vertical="center"/>
    </xf>
    <xf numFmtId="165" fontId="5" fillId="2" borderId="8" xfId="0" applyNumberFormat="1" applyFont="1" applyFill="1" applyBorder="1" applyAlignment="1">
      <alignment vertical="center"/>
    </xf>
    <xf numFmtId="0" fontId="4" fillId="2" borderId="49" xfId="0" applyFont="1" applyFill="1" applyBorder="1" applyAlignment="1">
      <alignment shrinkToFit="1"/>
    </xf>
    <xf numFmtId="0" fontId="4" fillId="2" borderId="3" xfId="0" applyFont="1" applyFill="1" applyBorder="1" applyAlignment="1">
      <alignment shrinkToFit="1"/>
    </xf>
    <xf numFmtId="0" fontId="4" fillId="2" borderId="4" xfId="0" applyFont="1" applyFill="1" applyBorder="1" applyAlignment="1">
      <alignment shrinkToFit="1"/>
    </xf>
    <xf numFmtId="165" fontId="16" fillId="8" borderId="22" xfId="0" applyNumberFormat="1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right"/>
      <protection locked="0"/>
    </xf>
    <xf numFmtId="0" fontId="4" fillId="3" borderId="38" xfId="0" applyFont="1" applyFill="1" applyBorder="1" applyAlignment="1" applyProtection="1">
      <alignment horizontal="right"/>
      <protection locked="0"/>
    </xf>
    <xf numFmtId="0" fontId="4" fillId="3" borderId="24" xfId="0" applyFont="1" applyFill="1" applyBorder="1" applyAlignment="1" applyProtection="1">
      <alignment horizontal="right"/>
      <protection locked="0"/>
    </xf>
    <xf numFmtId="0" fontId="4" fillId="3" borderId="25" xfId="0" applyFont="1" applyFill="1" applyBorder="1" applyAlignment="1" applyProtection="1">
      <alignment horizontal="right"/>
      <protection locked="0"/>
    </xf>
    <xf numFmtId="0" fontId="4" fillId="2" borderId="23" xfId="0" applyFont="1" applyFill="1" applyBorder="1" applyAlignment="1"/>
    <xf numFmtId="0" fontId="4" fillId="2" borderId="24" xfId="0" applyFont="1" applyFill="1" applyBorder="1" applyAlignment="1"/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28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vertical="center" shrinkToFit="1"/>
    </xf>
    <xf numFmtId="0" fontId="4" fillId="0" borderId="4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/>
    </xf>
    <xf numFmtId="0" fontId="4" fillId="0" borderId="40" xfId="0" applyFont="1" applyBorder="1" applyAlignment="1" applyProtection="1">
      <alignment vertical="center"/>
    </xf>
    <xf numFmtId="0" fontId="15" fillId="8" borderId="46" xfId="0" applyFont="1" applyFill="1" applyBorder="1" applyAlignment="1" applyProtection="1"/>
    <xf numFmtId="0" fontId="15" fillId="8" borderId="5" xfId="0" applyFont="1" applyFill="1" applyBorder="1" applyAlignment="1" applyProtection="1"/>
    <xf numFmtId="0" fontId="15" fillId="8" borderId="30" xfId="0" applyFont="1" applyFill="1" applyBorder="1" applyAlignment="1" applyProtection="1"/>
    <xf numFmtId="0" fontId="15" fillId="8" borderId="50" xfId="0" applyFont="1" applyFill="1" applyBorder="1" applyAlignment="1" applyProtection="1"/>
    <xf numFmtId="0" fontId="15" fillId="8" borderId="0" xfId="0" applyFont="1" applyFill="1" applyBorder="1" applyAlignment="1" applyProtection="1"/>
    <xf numFmtId="0" fontId="15" fillId="8" borderId="40" xfId="0" applyFont="1" applyFill="1" applyBorder="1" applyAlignment="1" applyProtection="1"/>
    <xf numFmtId="0" fontId="15" fillId="8" borderId="54" xfId="0" applyFont="1" applyFill="1" applyBorder="1" applyAlignment="1" applyProtection="1"/>
    <xf numFmtId="0" fontId="15" fillId="8" borderId="55" xfId="0" applyFont="1" applyFill="1" applyBorder="1" applyAlignment="1" applyProtection="1"/>
    <xf numFmtId="0" fontId="15" fillId="8" borderId="56" xfId="0" applyFont="1" applyFill="1" applyBorder="1" applyAlignment="1" applyProtection="1"/>
    <xf numFmtId="165" fontId="7" fillId="0" borderId="33" xfId="0" applyNumberFormat="1" applyFont="1" applyFill="1" applyBorder="1" applyAlignment="1"/>
    <xf numFmtId="165" fontId="7" fillId="0" borderId="34" xfId="0" applyNumberFormat="1" applyFont="1" applyFill="1" applyBorder="1" applyAlignment="1"/>
    <xf numFmtId="165" fontId="7" fillId="0" borderId="35" xfId="0" applyNumberFormat="1" applyFont="1" applyFill="1" applyBorder="1" applyAlignment="1"/>
    <xf numFmtId="0" fontId="4" fillId="2" borderId="1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shrinkToFit="1"/>
    </xf>
    <xf numFmtId="0" fontId="9" fillId="2" borderId="20" xfId="0" applyFont="1" applyFill="1" applyBorder="1" applyAlignment="1">
      <alignment horizontal="center" shrinkToFit="1"/>
    </xf>
    <xf numFmtId="0" fontId="9" fillId="2" borderId="21" xfId="0" applyFont="1" applyFill="1" applyBorder="1" applyAlignment="1">
      <alignment horizontal="center" shrinkToFit="1"/>
    </xf>
    <xf numFmtId="0" fontId="7" fillId="8" borderId="15" xfId="0" applyFont="1" applyFill="1" applyBorder="1" applyAlignment="1"/>
    <xf numFmtId="0" fontId="7" fillId="8" borderId="13" xfId="0" applyFont="1" applyFill="1" applyBorder="1" applyAlignment="1"/>
    <xf numFmtId="0" fontId="7" fillId="8" borderId="16" xfId="0" applyFont="1" applyFill="1" applyBorder="1" applyAlignment="1"/>
    <xf numFmtId="165" fontId="7" fillId="8" borderId="17" xfId="0" applyNumberFormat="1" applyFont="1" applyFill="1" applyBorder="1" applyAlignment="1">
      <alignment horizontal="right"/>
    </xf>
    <xf numFmtId="165" fontId="7" fillId="8" borderId="20" xfId="0" applyNumberFormat="1" applyFont="1" applyFill="1" applyBorder="1" applyAlignment="1">
      <alignment horizontal="right"/>
    </xf>
    <xf numFmtId="165" fontId="7" fillId="8" borderId="18" xfId="0" applyNumberFormat="1" applyFont="1" applyFill="1" applyBorder="1" applyAlignment="1">
      <alignment horizontal="right"/>
    </xf>
    <xf numFmtId="0" fontId="4" fillId="7" borderId="37" xfId="0" applyFont="1" applyFill="1" applyBorder="1" applyAlignment="1"/>
    <xf numFmtId="0" fontId="4" fillId="7" borderId="19" xfId="0" applyFont="1" applyFill="1" applyBorder="1" applyAlignment="1">
      <alignment shrinkToFit="1"/>
    </xf>
    <xf numFmtId="0" fontId="4" fillId="7" borderId="18" xfId="0" applyFont="1" applyFill="1" applyBorder="1" applyAlignment="1">
      <alignment shrinkToFit="1"/>
    </xf>
    <xf numFmtId="165" fontId="7" fillId="0" borderId="51" xfId="0" applyNumberFormat="1" applyFont="1" applyFill="1" applyBorder="1" applyAlignment="1"/>
    <xf numFmtId="165" fontId="7" fillId="0" borderId="52" xfId="0" applyNumberFormat="1" applyFont="1" applyFill="1" applyBorder="1" applyAlignment="1"/>
    <xf numFmtId="0" fontId="4" fillId="2" borderId="52" xfId="0" applyFont="1" applyFill="1" applyBorder="1" applyAlignment="1"/>
    <xf numFmtId="0" fontId="4" fillId="2" borderId="53" xfId="0" applyFont="1" applyFill="1" applyBorder="1" applyAlignment="1"/>
    <xf numFmtId="0" fontId="4" fillId="2" borderId="31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right"/>
    </xf>
    <xf numFmtId="0" fontId="6" fillId="2" borderId="31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4" fillId="0" borderId="50" xfId="0" applyFont="1" applyBorder="1" applyAlignment="1"/>
    <xf numFmtId="0" fontId="4" fillId="0" borderId="40" xfId="0" applyFont="1" applyBorder="1" applyAlignment="1"/>
    <xf numFmtId="0" fontId="4" fillId="0" borderId="70" xfId="0" applyFont="1" applyBorder="1" applyAlignment="1"/>
    <xf numFmtId="0" fontId="4" fillId="0" borderId="71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9" borderId="54" xfId="0" applyFont="1" applyFill="1" applyBorder="1" applyAlignment="1">
      <alignment horizontal="center"/>
    </xf>
    <xf numFmtId="0" fontId="7" fillId="9" borderId="55" xfId="0" applyFont="1" applyFill="1" applyBorder="1" applyAlignment="1">
      <alignment horizontal="center"/>
    </xf>
    <xf numFmtId="0" fontId="4" fillId="0" borderId="5" xfId="0" applyFont="1" applyBorder="1" applyAlignment="1"/>
    <xf numFmtId="0" fontId="4" fillId="0" borderId="30" xfId="0" applyFont="1" applyBorder="1" applyAlignment="1"/>
    <xf numFmtId="0" fontId="4" fillId="0" borderId="54" xfId="0" applyFont="1" applyBorder="1" applyAlignment="1"/>
    <xf numFmtId="0" fontId="4" fillId="0" borderId="56" xfId="0" applyFont="1" applyBorder="1" applyAlignment="1"/>
    <xf numFmtId="0" fontId="4" fillId="0" borderId="0" xfId="0" applyFont="1" applyBorder="1" applyAlignment="1"/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9" borderId="50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9" borderId="57" xfId="0" applyFont="1" applyFill="1" applyBorder="1" applyAlignment="1">
      <alignment horizontal="center"/>
    </xf>
    <xf numFmtId="0" fontId="7" fillId="9" borderId="2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49" xfId="0" applyFont="1" applyBorder="1" applyAlignment="1">
      <alignment horizontal="center" shrinkToFit="1"/>
    </xf>
    <xf numFmtId="0" fontId="9" fillId="0" borderId="4" xfId="0" applyFont="1" applyBorder="1" applyAlignment="1">
      <alignment horizontal="center" shrinkToFit="1"/>
    </xf>
    <xf numFmtId="0" fontId="7" fillId="0" borderId="3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" fillId="0" borderId="55" xfId="0" applyFont="1" applyBorder="1" applyAlignment="1"/>
    <xf numFmtId="0" fontId="4" fillId="0" borderId="46" xfId="0" applyFont="1" applyBorder="1" applyAlignment="1"/>
    <xf numFmtId="0" fontId="9" fillId="9" borderId="17" xfId="0" applyFont="1" applyFill="1" applyBorder="1" applyAlignment="1">
      <alignment horizontal="center" shrinkToFit="1"/>
    </xf>
    <xf numFmtId="0" fontId="9" fillId="9" borderId="18" xfId="0" applyFont="1" applyFill="1" applyBorder="1" applyAlignment="1">
      <alignment horizontal="center" shrinkToFit="1"/>
    </xf>
    <xf numFmtId="0" fontId="7" fillId="0" borderId="15" xfId="0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</cellXfs>
  <cellStyles count="3">
    <cellStyle name="Hivatkozás" xfId="2" builtinId="8"/>
    <cellStyle name="Normál" xfId="0" builtinId="0"/>
    <cellStyle name="Normál 2" xfId="1"/>
  </cellStyles>
  <dxfs count="10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6" tint="0.79998168889431442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color theme="0" tint="-4.9989318521683403E-2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0" tint="-4.9989318521683403E-2"/>
      </font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3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I$20" lockText="1" noThreeD="1"/>
</file>

<file path=xl/ctrlProps/ctrlProp10.xml><?xml version="1.0" encoding="utf-8"?>
<formControlPr xmlns="http://schemas.microsoft.com/office/spreadsheetml/2009/9/main" objectType="CheckBox" fmlaLink="I29" lockText="1" noThreeD="1"/>
</file>

<file path=xl/ctrlProps/ctrlProp2.xml><?xml version="1.0" encoding="utf-8"?>
<formControlPr xmlns="http://schemas.microsoft.com/office/spreadsheetml/2009/9/main" objectType="CheckBox" fmlaLink="I21" lockText="1" noThreeD="1"/>
</file>

<file path=xl/ctrlProps/ctrlProp3.xml><?xml version="1.0" encoding="utf-8"?>
<formControlPr xmlns="http://schemas.microsoft.com/office/spreadsheetml/2009/9/main" objectType="CheckBox" fmlaLink="I22" lockText="1" noThreeD="1"/>
</file>

<file path=xl/ctrlProps/ctrlProp4.xml><?xml version="1.0" encoding="utf-8"?>
<formControlPr xmlns="http://schemas.microsoft.com/office/spreadsheetml/2009/9/main" objectType="CheckBox" fmlaLink="I23" lockText="1" noThreeD="1"/>
</file>

<file path=xl/ctrlProps/ctrlProp5.xml><?xml version="1.0" encoding="utf-8"?>
<formControlPr xmlns="http://schemas.microsoft.com/office/spreadsheetml/2009/9/main" objectType="CheckBox" checked="Checked" fmlaLink="I24" lockText="1" noThreeD="1"/>
</file>

<file path=xl/ctrlProps/ctrlProp6.xml><?xml version="1.0" encoding="utf-8"?>
<formControlPr xmlns="http://schemas.microsoft.com/office/spreadsheetml/2009/9/main" objectType="CheckBox" checked="Checked" fmlaLink="I25" lockText="1" noThreeD="1"/>
</file>

<file path=xl/ctrlProps/ctrlProp7.xml><?xml version="1.0" encoding="utf-8"?>
<formControlPr xmlns="http://schemas.microsoft.com/office/spreadsheetml/2009/9/main" objectType="CheckBox" fmlaLink="I26" lockText="1" noThreeD="1"/>
</file>

<file path=xl/ctrlProps/ctrlProp8.xml><?xml version="1.0" encoding="utf-8"?>
<formControlPr xmlns="http://schemas.microsoft.com/office/spreadsheetml/2009/9/main" objectType="CheckBox" fmlaLink="I27" lockText="1" noThreeD="1"/>
</file>

<file path=xl/ctrlProps/ctrlProp9.xml><?xml version="1.0" encoding="utf-8"?>
<formControlPr xmlns="http://schemas.microsoft.com/office/spreadsheetml/2009/9/main" objectType="CheckBox" fmlaLink="I28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kronikak.hu/wp-content/uploads/2014/11/39-KSZ-J&#246;jj-vissza-v&#225;ndor.pdf" TargetMode="External"/><Relationship Id="rId3" Type="http://schemas.openxmlformats.org/officeDocument/2006/relationships/hyperlink" Target="https://kronikak.hu/wp-content/uploads/2011/01/1-KER-V&#225;ratlan-vend&#233;g.pdf" TargetMode="External"/><Relationship Id="rId7" Type="http://schemas.openxmlformats.org/officeDocument/2006/relationships/hyperlink" Target="https://kronikak.hu/wp-content/uploads/2014/11/K&#252;lv&#225;rosi-&#233;j-MAGUS-modul-1995-96-k%C3%B6rny%C3%A9k%C3%A9r%C5%91l_3-4.docx" TargetMode="External"/><Relationship Id="rId2" Type="http://schemas.openxmlformats.org/officeDocument/2006/relationships/hyperlink" Target="https://kronikak.hu/wp-content/uploads/2014/05/GuruR&#250;na1.93.1.pdf" TargetMode="External"/><Relationship Id="rId1" Type="http://schemas.openxmlformats.org/officeDocument/2006/relationships/hyperlink" Target="https://kronikak.hu/wp-content/uploads/2014/10/Aki-farkast-ki&#225;lt.pdf" TargetMode="External"/><Relationship Id="rId6" Type="http://schemas.openxmlformats.org/officeDocument/2006/relationships/hyperlink" Target="https://kronikak.hu/wp-content/uploads/2011/12/Gangler-Maszkok-&#252;nnepe.pdf" TargetMode="External"/><Relationship Id="rId5" Type="http://schemas.openxmlformats.org/officeDocument/2006/relationships/hyperlink" Target="https://kronikak.hu/wp-content/uploads/2011/10/Sonko-A-v&#233;rengz&#233;s-kardja.pdf" TargetMode="External"/><Relationship Id="rId4" Type="http://schemas.openxmlformats.org/officeDocument/2006/relationships/hyperlink" Target="https://kronikak.hu/wp-content/uploads/2016/08/&#201;szak-&#233;s-D&#233;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I59"/>
  <sheetViews>
    <sheetView tabSelected="1" workbookViewId="0">
      <pane ySplit="1" topLeftCell="A2" activePane="bottomLeft" state="frozen"/>
      <selection pane="bottomLeft" activeCell="D15" sqref="D15"/>
    </sheetView>
  </sheetViews>
  <sheetFormatPr defaultRowHeight="15"/>
  <cols>
    <col min="1" max="1" width="24.7109375" customWidth="1"/>
    <col min="2" max="2" width="3.7109375" style="148" customWidth="1"/>
    <col min="3" max="3" width="24.7109375" customWidth="1"/>
    <col min="4" max="4" width="6.7109375" customWidth="1"/>
    <col min="5" max="5" width="3.7109375" style="148" customWidth="1"/>
    <col min="6" max="8" width="6.7109375" customWidth="1"/>
    <col min="9" max="9" width="6.7109375" style="148" customWidth="1"/>
  </cols>
  <sheetData>
    <row r="1" spans="1:9" ht="15.75">
      <c r="A1" s="293" t="s">
        <v>926</v>
      </c>
      <c r="B1" s="293"/>
      <c r="C1" s="293"/>
      <c r="D1" s="293"/>
      <c r="E1" s="293"/>
      <c r="F1" s="293"/>
      <c r="G1" s="293"/>
      <c r="H1" s="293"/>
      <c r="I1" s="293"/>
    </row>
    <row r="2" spans="1:9" ht="15.75">
      <c r="A2" s="226" t="s">
        <v>532</v>
      </c>
      <c r="B2" s="226"/>
      <c r="C2" s="226" t="s">
        <v>804</v>
      </c>
      <c r="D2" s="226" t="s">
        <v>805</v>
      </c>
      <c r="E2" s="226"/>
      <c r="F2" s="226" t="s">
        <v>806</v>
      </c>
      <c r="G2" s="226" t="s">
        <v>807</v>
      </c>
      <c r="H2" s="226" t="s">
        <v>808</v>
      </c>
      <c r="I2" s="226" t="s">
        <v>796</v>
      </c>
    </row>
    <row r="3" spans="1:9" ht="15.75">
      <c r="A3" s="227" t="s">
        <v>989</v>
      </c>
      <c r="B3" s="228"/>
      <c r="C3" s="187" t="str">
        <f>IF(választott_faj="","",választott_faj)</f>
        <v/>
      </c>
      <c r="D3" s="228">
        <f>IF(választott_faj=ember,1,0)</f>
        <v>0</v>
      </c>
      <c r="E3" s="228"/>
      <c r="F3" s="229"/>
      <c r="G3" s="229"/>
      <c r="H3" s="229"/>
      <c r="I3" s="229"/>
    </row>
    <row r="4" spans="1:9" ht="15.75">
      <c r="A4" s="227" t="s">
        <v>995</v>
      </c>
      <c r="B4" s="228"/>
      <c r="C4" s="241"/>
      <c r="D4" s="228">
        <f>IF(választott_csillagjegy="",0,1)</f>
        <v>0</v>
      </c>
      <c r="E4" s="228"/>
      <c r="F4" s="229"/>
      <c r="G4" s="229"/>
      <c r="H4" s="229"/>
      <c r="I4" s="229"/>
    </row>
    <row r="5" spans="1:9" ht="15.75">
      <c r="A5" s="227" t="s">
        <v>994</v>
      </c>
      <c r="B5" s="228"/>
      <c r="C5" s="241"/>
      <c r="D5" s="228">
        <f>SUMIFS(INDEX(származások,,COLUMN()-COLUMN($A$2)),INDEX(származások,,1),$C5)</f>
        <v>0</v>
      </c>
      <c r="E5" s="228"/>
      <c r="F5" s="228">
        <f>SUMIFS(INDEX(származások,,COLUMN()-COLUMN($A$2)-1),INDEX(származások,,1),$C5)</f>
        <v>0</v>
      </c>
      <c r="G5" s="228">
        <f>SUMIFS(INDEX(származások,,COLUMN()-COLUMN($A$2)-1),INDEX(származások,,1),$C5)</f>
        <v>0</v>
      </c>
      <c r="H5" s="228">
        <f>SUMIFS(INDEX(származások,,COLUMN()-COLUMN($A$2)-1),INDEX(származások,,1),$C5)</f>
        <v>0</v>
      </c>
      <c r="I5" s="229"/>
    </row>
    <row r="6" spans="1:9" ht="15.75">
      <c r="A6" s="227" t="s">
        <v>993</v>
      </c>
      <c r="B6" s="228"/>
      <c r="C6" s="241"/>
      <c r="D6" s="228">
        <f>SUMIFS(INDEX(neveltetések,,COLUMN()-COLUMN($A$2)),INDEX(neveltetések,,1),$C6)</f>
        <v>0</v>
      </c>
      <c r="E6" s="228"/>
      <c r="F6" s="228">
        <f>SUMIFS(INDEX(neveltetések,,COLUMN()-COLUMN($A$2)-1),INDEX(neveltetések,,1),$C6)</f>
        <v>0</v>
      </c>
      <c r="G6" s="228">
        <f>SUMIFS(INDEX(neveltetések,,COLUMN()-COLUMN($A$2)-1),INDEX(neveltetések,,1),$C6)</f>
        <v>0</v>
      </c>
      <c r="H6" s="228">
        <f>SUMIFS(INDEX(neveltetések,,COLUMN()-COLUMN($A$2)-1),INDEX(neveltetések,,1),$C6)</f>
        <v>0</v>
      </c>
      <c r="I6" s="229"/>
    </row>
    <row r="7" spans="1:9" ht="15.75">
      <c r="A7" s="227" t="s">
        <v>992</v>
      </c>
      <c r="B7" s="228"/>
      <c r="C7" s="241"/>
      <c r="D7" s="228">
        <f>SUMIFS(INDEX(motivációk,,COLUMN()-COLUMN($A$2)),INDEX(motivációk,,1),$C7)</f>
        <v>0</v>
      </c>
      <c r="E7" s="228"/>
      <c r="F7" s="228">
        <f>SUMIFS(INDEX(motivációk,,COLUMN()-COLUMN($A$2)-1),INDEX(motivációk,,1),$C7)</f>
        <v>0</v>
      </c>
      <c r="G7" s="228">
        <f>SUMIFS(INDEX(motivációk,,COLUMN()-COLUMN($A$2)-1),INDEX(motivációk,,1),$C7)</f>
        <v>0</v>
      </c>
      <c r="H7" s="228">
        <f>SUMIFS(INDEX(motivációk,,COLUMN()-COLUMN($A$2)-1),INDEX(motivációk,,1),$C7)</f>
        <v>0</v>
      </c>
      <c r="I7" s="229"/>
    </row>
    <row r="8" spans="1:9" ht="15.75">
      <c r="A8" s="227" t="s">
        <v>923</v>
      </c>
      <c r="B8" s="228"/>
      <c r="C8" s="241"/>
      <c r="D8" s="228">
        <f>SUMIFS(INDEX(kalandok,,COLUMN()-COLUMN($A$2)),INDEX(kalandok,,1),$C8)</f>
        <v>0</v>
      </c>
      <c r="E8" s="228"/>
      <c r="F8" s="228">
        <f t="shared" ref="F8:I10" si="0">SUMIFS(INDEX(kalandok,,COLUMN()-COLUMN($A$2)-1),INDEX(kalandok,,1),$C8)</f>
        <v>0</v>
      </c>
      <c r="G8" s="228">
        <f t="shared" si="0"/>
        <v>0</v>
      </c>
      <c r="H8" s="228">
        <f t="shared" si="0"/>
        <v>0</v>
      </c>
      <c r="I8" s="228">
        <f t="shared" si="0"/>
        <v>0</v>
      </c>
    </row>
    <row r="9" spans="1:9" ht="15.75">
      <c r="A9" s="227" t="s">
        <v>924</v>
      </c>
      <c r="B9" s="228"/>
      <c r="C9" s="241"/>
      <c r="D9" s="228">
        <f>SUMIFS(INDEX(kalandok,,COLUMN()-COLUMN($A$2)),INDEX(kalandok,,1),$C9)</f>
        <v>0</v>
      </c>
      <c r="E9" s="228"/>
      <c r="F9" s="228">
        <f t="shared" si="0"/>
        <v>0</v>
      </c>
      <c r="G9" s="228">
        <f t="shared" si="0"/>
        <v>0</v>
      </c>
      <c r="H9" s="228">
        <f t="shared" si="0"/>
        <v>0</v>
      </c>
      <c r="I9" s="228">
        <f t="shared" si="0"/>
        <v>0</v>
      </c>
    </row>
    <row r="10" spans="1:9" ht="15.75">
      <c r="A10" s="227" t="s">
        <v>925</v>
      </c>
      <c r="B10" s="228"/>
      <c r="C10" s="241"/>
      <c r="D10" s="228">
        <f>SUMIFS(INDEX(kalandok,,COLUMN()-COLUMN($A$2)),INDEX(kalandok,,1),$C10)</f>
        <v>0</v>
      </c>
      <c r="E10" s="228"/>
      <c r="F10" s="228">
        <f t="shared" si="0"/>
        <v>0</v>
      </c>
      <c r="G10" s="228">
        <f t="shared" si="0"/>
        <v>0</v>
      </c>
      <c r="H10" s="228">
        <f t="shared" si="0"/>
        <v>0</v>
      </c>
      <c r="I10" s="228">
        <f t="shared" si="0"/>
        <v>0</v>
      </c>
    </row>
    <row r="11" spans="1:9" ht="15.75">
      <c r="A11" s="230"/>
      <c r="B11" s="231"/>
      <c r="C11" s="232" t="s">
        <v>997</v>
      </c>
      <c r="D11" s="231">
        <f>SUM(D3:D10)</f>
        <v>0</v>
      </c>
      <c r="E11" s="231"/>
      <c r="F11" s="231">
        <f>SUM(F$3:F$10)</f>
        <v>0</v>
      </c>
      <c r="G11" s="231">
        <f>SUM(G$3:G$10)</f>
        <v>0</v>
      </c>
      <c r="H11" s="231">
        <f>SUM(H$3:H$10)</f>
        <v>0</v>
      </c>
      <c r="I11" s="233"/>
    </row>
    <row r="12" spans="1:9" ht="15.75">
      <c r="A12" s="227"/>
      <c r="B12" s="228"/>
      <c r="C12" s="187"/>
      <c r="D12" s="228"/>
      <c r="E12" s="228"/>
      <c r="F12" s="228"/>
      <c r="G12" s="228"/>
      <c r="H12" s="228"/>
      <c r="I12" s="228"/>
    </row>
    <row r="13" spans="1:9" s="148" customFormat="1" ht="15.75">
      <c r="A13" s="226" t="s">
        <v>803</v>
      </c>
      <c r="B13" s="226"/>
      <c r="C13" s="226" t="s">
        <v>804</v>
      </c>
      <c r="D13" s="226" t="s">
        <v>805</v>
      </c>
      <c r="E13" s="226"/>
      <c r="F13" s="295" t="s">
        <v>1042</v>
      </c>
      <c r="G13" s="295"/>
      <c r="H13" s="295"/>
      <c r="I13" s="295"/>
    </row>
    <row r="14" spans="1:9" s="148" customFormat="1" ht="15.75">
      <c r="A14" s="227" t="s">
        <v>989</v>
      </c>
      <c r="B14" s="228"/>
      <c r="C14" s="228" t="str">
        <f>IF(választott_faj="","",választott_faj)</f>
        <v/>
      </c>
      <c r="D14" s="229"/>
      <c r="E14" s="228"/>
      <c r="F14" s="298"/>
      <c r="G14" s="298"/>
      <c r="H14" s="298"/>
      <c r="I14" s="298"/>
    </row>
    <row r="15" spans="1:9" s="148" customFormat="1" ht="15.75">
      <c r="A15" s="227" t="s">
        <v>990</v>
      </c>
      <c r="B15" s="228"/>
      <c r="C15" s="228" t="str">
        <f>IF(választott_kaszt_1="","",választott_kaszt_1)</f>
        <v/>
      </c>
      <c r="D15" s="228">
        <f>SUMIFS(INDEX(kasztok,,75),INDEX(kasztok,,1),választott_kaszt_1)</f>
        <v>0</v>
      </c>
      <c r="E15" s="228"/>
      <c r="F15" s="290"/>
      <c r="G15" s="290"/>
      <c r="H15" s="290"/>
      <c r="I15" s="290"/>
    </row>
    <row r="16" spans="1:9" s="148" customFormat="1" ht="15.75">
      <c r="A16" s="227" t="s">
        <v>991</v>
      </c>
      <c r="B16" s="228"/>
      <c r="C16" s="228">
        <f>kaszt_szint_1</f>
        <v>0</v>
      </c>
      <c r="D16" s="229"/>
      <c r="E16" s="228"/>
      <c r="F16" s="290"/>
      <c r="G16" s="290"/>
      <c r="H16" s="290"/>
      <c r="I16" s="290"/>
    </row>
    <row r="17" spans="1:9" s="148" customFormat="1" ht="15.75">
      <c r="A17" s="227" t="s">
        <v>996</v>
      </c>
      <c r="B17" s="228"/>
      <c r="C17" s="228">
        <f>tulajdonságátlag*10</f>
        <v>0</v>
      </c>
      <c r="D17" s="228">
        <f>IF(tulajdonságátlag&gt;=12,VLOOKUP(tulajdonságátlag,tulajdonság_átlagok,2),0)</f>
        <v>0</v>
      </c>
      <c r="E17" s="228"/>
      <c r="F17" s="297"/>
      <c r="G17" s="297"/>
      <c r="H17" s="297"/>
      <c r="I17" s="297"/>
    </row>
    <row r="18" spans="1:9" s="148" customFormat="1" ht="15.75">
      <c r="A18" s="227" t="s">
        <v>986</v>
      </c>
      <c r="B18" s="228"/>
      <c r="C18" s="228">
        <f>$D18*3</f>
        <v>0</v>
      </c>
      <c r="D18" s="242"/>
      <c r="E18" s="228"/>
      <c r="F18" s="296" t="s">
        <v>1043</v>
      </c>
      <c r="G18" s="296"/>
      <c r="H18" s="296"/>
      <c r="I18" s="296"/>
    </row>
    <row r="19" spans="1:9" s="148" customFormat="1" ht="15.75">
      <c r="A19" s="227" t="s">
        <v>987</v>
      </c>
      <c r="B19" s="228"/>
      <c r="C19" s="228">
        <f>$D19*3</f>
        <v>0</v>
      </c>
      <c r="D19" s="242"/>
      <c r="E19" s="228"/>
      <c r="F19" s="290"/>
      <c r="G19" s="290"/>
      <c r="H19" s="290"/>
      <c r="I19" s="290"/>
    </row>
    <row r="20" spans="1:9" s="148" customFormat="1" ht="15.75">
      <c r="A20" s="227" t="s">
        <v>988</v>
      </c>
      <c r="B20" s="228"/>
      <c r="C20" s="228"/>
      <c r="D20" s="228">
        <f>MIN(10,szerzett_Dp)-SUM($D$14:$D$19)</f>
        <v>0</v>
      </c>
      <c r="E20" s="228"/>
      <c r="F20" s="290"/>
      <c r="G20" s="290"/>
      <c r="H20" s="290"/>
      <c r="I20" s="290"/>
    </row>
    <row r="21" spans="1:9" s="148" customFormat="1" ht="15.75">
      <c r="A21" s="294" t="str">
        <f>"ÖSSZESEN (max. "&amp;TEXT(MIN(10,szerzett_Dp),"0")&amp;" Dp):"</f>
        <v>ÖSSZESEN (max. 0 Dp):</v>
      </c>
      <c r="B21" s="294"/>
      <c r="C21" s="294"/>
      <c r="D21" s="231">
        <f>SUM(D15:D20)</f>
        <v>0</v>
      </c>
      <c r="E21" s="231"/>
      <c r="F21" s="290"/>
      <c r="G21" s="290"/>
      <c r="H21" s="290"/>
      <c r="I21" s="290"/>
    </row>
    <row r="22" spans="1:9" s="148" customFormat="1" ht="15.75">
      <c r="A22" s="291" t="s">
        <v>998</v>
      </c>
      <c r="B22" s="291"/>
      <c r="C22" s="291"/>
      <c r="D22" s="231">
        <f>MAX(0,szerzett_Dp-karakter_Dp)</f>
        <v>0</v>
      </c>
      <c r="E22" s="231"/>
      <c r="F22" s="234"/>
      <c r="G22" s="234"/>
      <c r="H22" s="234"/>
      <c r="I22" s="234"/>
    </row>
    <row r="23" spans="1:9" s="148" customFormat="1" ht="15.75">
      <c r="A23" s="287" t="s">
        <v>1072</v>
      </c>
      <c r="B23" s="287"/>
      <c r="C23" s="287"/>
      <c r="D23" s="235">
        <f>(COUNTA(felvett_előnyök_2)*COUNTA(felvett_előnyök_2)+COUNTA(felvett_előnyök_2))/2+(COUNTA(felvett_képzések)*COUNTA(felvett_képzések)+COUNTA(felvett_képzések))/2+IF(OR(ingyen_iskola="",COUNTBLANK(felvett_képzések)=4),0,1)</f>
        <v>0</v>
      </c>
      <c r="E23" s="235"/>
      <c r="F23" s="288" t="s">
        <v>1073</v>
      </c>
      <c r="G23" s="288"/>
      <c r="H23" s="236">
        <f>MAX(0,D22-D23)*40</f>
        <v>0</v>
      </c>
      <c r="I23" s="236" t="s">
        <v>1074</v>
      </c>
    </row>
    <row r="24" spans="1:9" s="148" customFormat="1" ht="15.75">
      <c r="A24" s="227"/>
      <c r="B24" s="228"/>
      <c r="C24" s="187"/>
      <c r="D24" s="228"/>
      <c r="E24" s="228"/>
      <c r="F24" s="228"/>
      <c r="G24" s="228"/>
      <c r="H24" s="228"/>
      <c r="I24" s="228"/>
    </row>
    <row r="25" spans="1:9" ht="15.75">
      <c r="A25" s="226" t="str">
        <f>"További Előnyök ("&amp;TEXT((COUNTA(felvett_előnyök_2)*COUNTA(felvett_előnyök_2)+COUNTA(felvett_előnyök_2))/2,"0")&amp;" Dp)"</f>
        <v>További Előnyök (0 Dp)</v>
      </c>
      <c r="B25" s="237"/>
      <c r="C25" s="226" t="str">
        <f>"Különleges képzés ("&amp;TEXT((COUNTA(felvett_képzések)*COUNTA(felvett_képzések)+COUNTA(felvett_képzések))/2+IF(ingyen_iskola="",0,1),"0")&amp;" Dp)"</f>
        <v>Különleges képzés (0 Dp)</v>
      </c>
      <c r="D25" s="237"/>
      <c r="E25" s="237"/>
      <c r="F25" s="289" t="s">
        <v>1071</v>
      </c>
      <c r="G25" s="289"/>
      <c r="H25" s="289"/>
      <c r="I25" s="289"/>
    </row>
    <row r="26" spans="1:9" ht="15.75">
      <c r="A26" s="243"/>
      <c r="B26" s="228"/>
      <c r="C26" s="243"/>
      <c r="D26" s="228"/>
      <c r="E26" s="228"/>
      <c r="F26" s="290"/>
      <c r="G26" s="290"/>
      <c r="H26" s="290"/>
      <c r="I26" s="290"/>
    </row>
    <row r="27" spans="1:9" ht="15.75">
      <c r="A27" s="244"/>
      <c r="B27" s="228"/>
      <c r="C27" s="244"/>
      <c r="D27" s="228"/>
      <c r="E27" s="228"/>
      <c r="F27" s="290"/>
      <c r="G27" s="290"/>
      <c r="H27" s="290"/>
      <c r="I27" s="290"/>
    </row>
    <row r="28" spans="1:9" ht="15.75">
      <c r="A28" s="244"/>
      <c r="B28" s="228"/>
      <c r="C28" s="244"/>
      <c r="D28" s="228"/>
      <c r="E28" s="228"/>
      <c r="F28" s="290"/>
      <c r="G28" s="290"/>
      <c r="H28" s="290"/>
      <c r="I28" s="290"/>
    </row>
    <row r="29" spans="1:9" ht="15.75">
      <c r="A29" s="245"/>
      <c r="B29" s="228"/>
      <c r="C29" s="245"/>
      <c r="D29" s="228"/>
      <c r="E29" s="228"/>
      <c r="F29" s="290"/>
      <c r="G29" s="290"/>
      <c r="H29" s="290"/>
      <c r="I29" s="290"/>
    </row>
    <row r="30" spans="1:9" ht="15.75">
      <c r="A30" s="291" t="str">
        <f>"Ingyenes "&amp;IF(OR(választott_kaszt_1=harcművész,választott_kaszt_2=harcművész),"harcművész ","")&amp;IF(OR(COUNTIF(bajvívók,választott_kaszt_1)&gt;0,COUNTIF(bajvívók,választott_kaszt_2)&gt;0),"bajvívó ","")&amp;"stílus:"</f>
        <v>Ingyenes stílus:</v>
      </c>
      <c r="B30" s="291"/>
      <c r="C30" s="246"/>
      <c r="D30" s="292" t="s">
        <v>1248</v>
      </c>
      <c r="E30" s="292"/>
      <c r="F30" s="292"/>
      <c r="G30" s="292"/>
      <c r="H30" s="292"/>
      <c r="I30" s="292"/>
    </row>
    <row r="31" spans="1:9">
      <c r="A31" s="227"/>
      <c r="B31" s="227"/>
      <c r="C31" s="227"/>
      <c r="D31" s="227"/>
      <c r="E31" s="227"/>
      <c r="F31" s="227"/>
      <c r="G31" s="227"/>
      <c r="H31" s="227"/>
      <c r="I31" s="238"/>
    </row>
    <row r="32" spans="1:9">
      <c r="A32" s="227"/>
      <c r="B32" s="227"/>
      <c r="C32" s="227"/>
      <c r="D32" s="227"/>
      <c r="E32" s="227"/>
      <c r="F32" s="227"/>
      <c r="G32" s="227"/>
      <c r="H32" s="227"/>
      <c r="I32" s="227"/>
    </row>
    <row r="33" spans="1:9" ht="15.75">
      <c r="A33" s="239"/>
      <c r="B33" s="228"/>
      <c r="C33" s="228"/>
      <c r="D33" s="228"/>
      <c r="E33" s="228"/>
      <c r="F33" s="240"/>
      <c r="G33" s="240"/>
      <c r="H33" s="240"/>
      <c r="I33" s="227"/>
    </row>
    <row r="34" spans="1:9">
      <c r="A34" s="240"/>
      <c r="B34" s="240"/>
      <c r="C34" s="240"/>
      <c r="D34" s="240"/>
      <c r="E34" s="240"/>
      <c r="F34" s="240"/>
      <c r="G34" s="240"/>
      <c r="H34" s="240"/>
      <c r="I34" s="227"/>
    </row>
    <row r="35" spans="1:9">
      <c r="I35" s="10"/>
    </row>
    <row r="36" spans="1:9">
      <c r="I36" s="10"/>
    </row>
    <row r="37" spans="1:9">
      <c r="I37" s="10"/>
    </row>
    <row r="38" spans="1:9">
      <c r="I38" s="10"/>
    </row>
    <row r="39" spans="1:9">
      <c r="I39" s="10"/>
    </row>
    <row r="40" spans="1:9">
      <c r="I40" s="10"/>
    </row>
    <row r="41" spans="1:9">
      <c r="I41" s="10"/>
    </row>
    <row r="42" spans="1:9">
      <c r="I42" s="10"/>
    </row>
    <row r="43" spans="1:9">
      <c r="I43" s="10"/>
    </row>
    <row r="44" spans="1:9">
      <c r="I44" s="10"/>
    </row>
    <row r="45" spans="1:9">
      <c r="I45" s="10"/>
    </row>
    <row r="46" spans="1:9">
      <c r="I46" s="10"/>
    </row>
    <row r="47" spans="1:9">
      <c r="I47" s="10"/>
    </row>
    <row r="48" spans="1:9">
      <c r="I48" s="10"/>
    </row>
    <row r="49" spans="9:9">
      <c r="I49" s="10"/>
    </row>
    <row r="50" spans="9:9">
      <c r="I50" s="10"/>
    </row>
    <row r="51" spans="9:9">
      <c r="I51" s="10"/>
    </row>
    <row r="52" spans="9:9">
      <c r="I52" s="10"/>
    </row>
    <row r="53" spans="9:9">
      <c r="I53" s="10"/>
    </row>
    <row r="54" spans="9:9">
      <c r="I54" s="10"/>
    </row>
    <row r="55" spans="9:9">
      <c r="I55" s="10"/>
    </row>
    <row r="56" spans="9:9">
      <c r="I56" s="10"/>
    </row>
    <row r="57" spans="9:9">
      <c r="I57" s="10"/>
    </row>
    <row r="58" spans="9:9">
      <c r="I58" s="10"/>
    </row>
    <row r="59" spans="9:9">
      <c r="I59" s="10"/>
    </row>
  </sheetData>
  <sheetProtection password="C6AC" sheet="1" objects="1" scenarios="1"/>
  <mergeCells count="21">
    <mergeCell ref="A30:B30"/>
    <mergeCell ref="D30:I30"/>
    <mergeCell ref="A1:I1"/>
    <mergeCell ref="A21:C21"/>
    <mergeCell ref="A22:C22"/>
    <mergeCell ref="F19:I19"/>
    <mergeCell ref="F20:I20"/>
    <mergeCell ref="F21:I21"/>
    <mergeCell ref="F28:I28"/>
    <mergeCell ref="F29:I29"/>
    <mergeCell ref="F13:I13"/>
    <mergeCell ref="F18:I18"/>
    <mergeCell ref="F17:I17"/>
    <mergeCell ref="F14:I14"/>
    <mergeCell ref="F15:I15"/>
    <mergeCell ref="F16:I16"/>
    <mergeCell ref="A23:C23"/>
    <mergeCell ref="F23:G23"/>
    <mergeCell ref="F25:I25"/>
    <mergeCell ref="F26:I26"/>
    <mergeCell ref="F27:I27"/>
  </mergeCells>
  <conditionalFormatting sqref="C18:C19 D5:D10 F5:H7 F8:I10">
    <cfRule type="cellIs" dxfId="100" priority="100" operator="equal">
      <formula>0</formula>
    </cfRule>
  </conditionalFormatting>
  <conditionalFormatting sqref="C8">
    <cfRule type="expression" dxfId="99" priority="80">
      <formula>(COUNTIF($C$8:$C$10,$C$8)&gt;1)</formula>
    </cfRule>
    <cfRule type="expression" dxfId="98" priority="94">
      <formula>AND($C$8="",COUNTA($C$8:$C$10)&gt;0)</formula>
    </cfRule>
  </conditionalFormatting>
  <conditionalFormatting sqref="C9">
    <cfRule type="expression" dxfId="97" priority="79">
      <formula>(COUNTIF($C$8:$C$10,$C$9)&gt;1)</formula>
    </cfRule>
    <cfRule type="expression" dxfId="96" priority="82">
      <formula>(($I$9-$I$8)&gt;1)</formula>
    </cfRule>
    <cfRule type="expression" dxfId="95" priority="93">
      <formula>AND(OR($C$10&lt;&gt;"",$C$9&lt;&gt;""),$C$8="")</formula>
    </cfRule>
  </conditionalFormatting>
  <conditionalFormatting sqref="C10">
    <cfRule type="expression" dxfId="94" priority="78">
      <formula>(COUNTIF($C$8:$C$10,$C$10)&gt;1)</formula>
    </cfRule>
    <cfRule type="expression" dxfId="93" priority="81">
      <formula>(($I$10-$I$9)&gt;1)</formula>
    </cfRule>
    <cfRule type="expression" dxfId="92" priority="92">
      <formula>AND($C$10&lt;&gt;"",$C$9="")</formula>
    </cfRule>
  </conditionalFormatting>
  <conditionalFormatting sqref="D3">
    <cfRule type="expression" dxfId="91" priority="60">
      <formula>AND(#REF!&lt;&gt;0,SUM(#REF!)&gt;10)</formula>
    </cfRule>
    <cfRule type="cellIs" dxfId="90" priority="61" operator="equal">
      <formula>0</formula>
    </cfRule>
  </conditionalFormatting>
  <conditionalFormatting sqref="D18">
    <cfRule type="expression" dxfId="89" priority="57">
      <formula>AND($D$18&lt;&gt;0,SUM($D$14:$D$19)&gt;MIN(10,szerzett_Dp))</formula>
    </cfRule>
    <cfRule type="cellIs" dxfId="88" priority="58" operator="equal">
      <formula>0</formula>
    </cfRule>
  </conditionalFormatting>
  <conditionalFormatting sqref="D19">
    <cfRule type="expression" dxfId="87" priority="55">
      <formula>AND($D$19&gt;0,SUM($D$15:$D$19)&gt;MIN(10,szerzett_Dp))</formula>
    </cfRule>
    <cfRule type="cellIs" dxfId="86" priority="56" operator="equal">
      <formula>0</formula>
    </cfRule>
  </conditionalFormatting>
  <conditionalFormatting sqref="D17">
    <cfRule type="expression" dxfId="85" priority="53">
      <formula>AND(#REF!&lt;&gt;0,SUM(#REF!)&gt;10)</formula>
    </cfRule>
    <cfRule type="cellIs" dxfId="84" priority="54" operator="equal">
      <formula>0</formula>
    </cfRule>
  </conditionalFormatting>
  <conditionalFormatting sqref="D15">
    <cfRule type="expression" dxfId="83" priority="51">
      <formula>AND(#REF!&lt;&gt;0,SUM(#REF!)&gt;10)</formula>
    </cfRule>
    <cfRule type="cellIs" dxfId="82" priority="52" operator="equal">
      <formula>0</formula>
    </cfRule>
  </conditionalFormatting>
  <conditionalFormatting sqref="F14:I14">
    <cfRule type="expression" dxfId="81" priority="47">
      <formula>((COUNTIF(felvett_előnyök_1,$F$14)+COUNTIF(felvett_előnyök_2,$F$14))&gt;1)</formula>
    </cfRule>
    <cfRule type="expression" dxfId="80" priority="50">
      <formula>OR(AND($F$14&lt;&gt;"",előnyök_száma&lt;ROW()-ROW($F$13)),AND($F$14="",előnyök_száma&gt;=ROW()-ROW($F$13)))</formula>
    </cfRule>
  </conditionalFormatting>
  <conditionalFormatting sqref="F15:I15">
    <cfRule type="expression" dxfId="79" priority="46">
      <formula>((COUNTIF(felvett_előnyök_1,$F$15)+COUNTIF(felvett_előnyök_2,$F$15))&gt;1)</formula>
    </cfRule>
    <cfRule type="expression" dxfId="78" priority="49">
      <formula>OR(AND($F$15&lt;&gt;"",előnyök_száma&lt;ROW()-ROW($F$13)),AND($F$15="",előnyök_száma&gt;=ROW()-ROW($F$13)))</formula>
    </cfRule>
  </conditionalFormatting>
  <conditionalFormatting sqref="F16:I16">
    <cfRule type="expression" dxfId="77" priority="45">
      <formula>((COUNTIF(felvett_előnyök_1,$F$16)+COUNTIF(felvett_előnyök_2,$F$16))&gt;1)</formula>
    </cfRule>
    <cfRule type="expression" dxfId="76" priority="48">
      <formula>OR(AND($F$16&lt;&gt;"",előnyök_száma&lt;ROW()-ROW($F$13)),AND($F$16="",előnyök_száma&gt;=ROW()-ROW($F$13)))</formula>
    </cfRule>
  </conditionalFormatting>
  <conditionalFormatting sqref="F19:I19">
    <cfRule type="expression" dxfId="75" priority="43">
      <formula>((COUNTIF(felvett_előnyök_2,$F$19)+COUNTIF(felvett_hátrányok_2,$F$19))&gt;1)</formula>
    </cfRule>
    <cfRule type="expression" dxfId="74" priority="44">
      <formula>OR(AND($F$19&lt;&gt;"",hátrányok_száma&lt;ROW()-ROW($F$18)),AND($F$19="",hátrányok_száma&gt;=ROW()-ROW($F$18)))</formula>
    </cfRule>
  </conditionalFormatting>
  <conditionalFormatting sqref="F20:I20">
    <cfRule type="expression" dxfId="73" priority="29">
      <formula>((COUNTIF(felvett_előnyök_2,$F$20)+COUNTIF(felvett_hátrányok_2,$F$20))&gt;1)</formula>
    </cfRule>
    <cfRule type="expression" dxfId="72" priority="30">
      <formula>OR(AND($F$20&lt;&gt;"",hátrányok_száma&lt;ROW()-ROW($F$18)),AND($F$20="",hátrányok_száma&gt;=ROW()-ROW($F$18)))</formula>
    </cfRule>
  </conditionalFormatting>
  <conditionalFormatting sqref="F21:I21">
    <cfRule type="expression" dxfId="71" priority="27">
      <formula>((COUNTIF(felvett_előnyök_2,$F$21)+COUNTIF(felvett_hátrányok_2,$F$21))&gt;1)</formula>
    </cfRule>
    <cfRule type="expression" dxfId="70" priority="28">
      <formula>OR(AND($F$21&lt;&gt;"",hátrányok_száma&lt;ROW()-ROW($F$18)),AND($F$21="",hátrányok_száma&gt;=ROW()-ROW($F$18)))</formula>
    </cfRule>
  </conditionalFormatting>
  <conditionalFormatting sqref="D20">
    <cfRule type="cellIs" dxfId="69" priority="1" operator="lessThan">
      <formula>0</formula>
    </cfRule>
    <cfRule type="cellIs" dxfId="68" priority="26" operator="equal">
      <formula>0</formula>
    </cfRule>
  </conditionalFormatting>
  <conditionalFormatting sqref="A26">
    <cfRule type="expression" dxfId="67" priority="23">
      <formula>((COUNTIF(felvett_előnyök_1,$A$26)+COUNTIF(felvett_előnyök_2,$A$26))&gt;1)</formula>
    </cfRule>
  </conditionalFormatting>
  <conditionalFormatting sqref="D23">
    <cfRule type="expression" dxfId="66" priority="20">
      <formula>($D$23&gt;MAX(0,szerzett_Dp-karakter_Dp))</formula>
    </cfRule>
  </conditionalFormatting>
  <conditionalFormatting sqref="A27">
    <cfRule type="expression" dxfId="65" priority="19">
      <formula>((COUNTIF(felvett_előnyök_1,$A$27)+COUNTIF(felvett_előnyök_2,$A$27))&gt;1)</formula>
    </cfRule>
  </conditionalFormatting>
  <conditionalFormatting sqref="A28">
    <cfRule type="expression" dxfId="64" priority="18">
      <formula>((COUNTIF(felvett_előnyök_1,$A$28)+COUNTIF(felvett_előnyök_2,$A$28))&gt;1)</formula>
    </cfRule>
  </conditionalFormatting>
  <conditionalFormatting sqref="A29">
    <cfRule type="expression" dxfId="63" priority="17">
      <formula>((COUNTIF(felvett_előnyök_1,$A$29)+COUNTIF(felvett_előnyök_2,$A$29))&gt;1)</formula>
    </cfRule>
  </conditionalFormatting>
  <conditionalFormatting sqref="F26:I26">
    <cfRule type="expression" dxfId="62" priority="15">
      <formula>((COUNTIF(felvett_előnyök_2,$F$26)+COUNTIF(felvett_hátrányok_2,$F$26))&gt;1)</formula>
    </cfRule>
  </conditionalFormatting>
  <conditionalFormatting sqref="F27:I27">
    <cfRule type="expression" dxfId="61" priority="14">
      <formula>((COUNTIF(felvett_előnyök_2,$F$27)+COUNTIF(felvett_hátrányok_2,$F$27))&gt;1)</formula>
    </cfRule>
  </conditionalFormatting>
  <conditionalFormatting sqref="F28:I28">
    <cfRule type="expression" dxfId="60" priority="13">
      <formula>((COUNTIF(felvett_előnyök_2,$F$28)+COUNTIF(felvett_hátrányok_2,$F$28))&gt;1)</formula>
    </cfRule>
  </conditionalFormatting>
  <conditionalFormatting sqref="F29:I29">
    <cfRule type="expression" dxfId="59" priority="12">
      <formula>((COUNTIF(felvett_előnyök_2,$F$29)+COUNTIF(felvett_hátrányok_2,$F$29))&gt;1)</formula>
    </cfRule>
  </conditionalFormatting>
  <conditionalFormatting sqref="C26">
    <cfRule type="expression" dxfId="58" priority="11">
      <formula>(COUNTIF(felvett_képzések,$C$26)&gt;1)</formula>
    </cfRule>
  </conditionalFormatting>
  <conditionalFormatting sqref="C27">
    <cfRule type="expression" dxfId="57" priority="10">
      <formula>(COUNTIF(felvett_képzések,$C$27)&gt;1)</formula>
    </cfRule>
  </conditionalFormatting>
  <conditionalFormatting sqref="C28">
    <cfRule type="expression" dxfId="56" priority="9">
      <formula>(COUNTIF(felvett_képzések,$C$28)&gt;1)</formula>
    </cfRule>
  </conditionalFormatting>
  <conditionalFormatting sqref="C29">
    <cfRule type="expression" dxfId="55" priority="8">
      <formula>(COUNTIF(felvett_képzések,$C$29)&gt;1)</formula>
    </cfRule>
  </conditionalFormatting>
  <conditionalFormatting sqref="C30">
    <cfRule type="expression" dxfId="54" priority="2">
      <formula>AND(LEN($A$30)&lt;20,ingyen_iskola&lt;&gt;"")</formula>
    </cfRule>
    <cfRule type="expression" dxfId="53" priority="3">
      <formula>AND(LEN($A$30)=27,COUNTIF(harcművész_iskolák,ingyen_iskola)=0)</formula>
    </cfRule>
    <cfRule type="expression" dxfId="52" priority="5">
      <formula>AND(LEN($A$30)=24,COUNTIF(bajvívó_iskolák,ingyen_iskola)=0)</formula>
    </cfRule>
    <cfRule type="expression" dxfId="51" priority="7">
      <formula>AND(LEN($A$30)&gt;20,ingyen_iskola="")</formula>
    </cfRule>
  </conditionalFormatting>
  <dataValidations count="11">
    <dataValidation type="list" showInputMessage="1" showErrorMessage="1" error="Üres vagy listából választandó!" sqref="C4">
      <formula1>INDEX(csillagjegyek,,1)</formula1>
    </dataValidation>
    <dataValidation type="list" showInputMessage="1" showErrorMessage="1" error="Üres vagy listából választandó!" sqref="C5">
      <formula1>INDEX(származások,,1)</formula1>
    </dataValidation>
    <dataValidation type="list" showInputMessage="1" showErrorMessage="1" error="Üres vagy listából választandó!" sqref="C6">
      <formula1>INDEX(neveltetések,,1)</formula1>
    </dataValidation>
    <dataValidation type="list" showInputMessage="1" showErrorMessage="1" error="Üres vagy listából választandó!" sqref="C7">
      <formula1>INDEX(motivációk,,1)</formula1>
    </dataValidation>
    <dataValidation type="list" showInputMessage="1" showErrorMessage="1" error="Üres vagy listából választandó!" sqref="C8:C10">
      <formula1>INDEX(kalandok,,1)</formula1>
    </dataValidation>
    <dataValidation type="whole" showInputMessage="1" showErrorMessage="1" error="Üres vagy 0-10 között lehet!" sqref="D15 D17">
      <formula1>0</formula1>
      <formula2>10</formula2>
    </dataValidation>
    <dataValidation type="list" showInputMessage="1" showErrorMessage="1" error="Üres vagy listából választandó!" sqref="F14:I16 A26:A29">
      <formula1>INDEX(előnyök,,1)</formula1>
    </dataValidation>
    <dataValidation type="list" showInputMessage="1" showErrorMessage="1" error="Üres vagy listából választandó!" sqref="F19:I21 F26:I29">
      <formula1>INDEX(hátrányok,,1)</formula1>
    </dataValidation>
    <dataValidation type="list" showInputMessage="1" showErrorMessage="1" error="Üres vagy listából választandó!" sqref="C26:C29">
      <formula1>INDEX(különleges_képzések,,1)</formula1>
    </dataValidation>
    <dataValidation type="list" showInputMessage="1" showErrorMessage="1" error="Üres vagy a listából választandó!" sqref="C30">
      <formula1>IF(LEN($A$30)=24,bajvívó_iskolák,IF(LEN($A$30)=27,harcművész_iskolák,$C$12))</formula1>
    </dataValidation>
    <dataValidation type="whole" showInputMessage="1" showErrorMessage="1" error="Legfeljebb az elkölthető Dp lehet!" sqref="D18 D19">
      <formula1>0</formula1>
      <formula2>MIN(10,szerzett_Dp)</formula2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  <headerFooter>
    <oddHeader>&amp;C&amp;"Book Antiqua,Félkövér"&amp;14Karakteralkotás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9"/>
  <dimension ref="A1:Q2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/>
  <cols>
    <col min="1" max="1" width="24.7109375" style="148" customWidth="1"/>
    <col min="2" max="2" width="90.7109375" style="148" customWidth="1"/>
    <col min="3" max="6" width="6.7109375" style="148" customWidth="1"/>
    <col min="7" max="16384" width="9.140625" style="148"/>
  </cols>
  <sheetData>
    <row r="1" spans="1:17" ht="15.75">
      <c r="A1" s="46" t="s">
        <v>906</v>
      </c>
      <c r="B1" s="46" t="s">
        <v>876</v>
      </c>
      <c r="C1" s="46" t="s">
        <v>805</v>
      </c>
      <c r="D1" s="46" t="s">
        <v>806</v>
      </c>
      <c r="E1" s="46" t="s">
        <v>807</v>
      </c>
      <c r="F1" s="46" t="s">
        <v>808</v>
      </c>
      <c r="G1" s="10"/>
      <c r="H1" s="10"/>
      <c r="I1" s="164"/>
      <c r="J1" s="164"/>
      <c r="K1" s="164"/>
      <c r="L1" s="164"/>
      <c r="M1" s="164"/>
      <c r="N1" s="164"/>
      <c r="O1" s="164"/>
      <c r="P1" s="164"/>
      <c r="Q1" s="164"/>
    </row>
    <row r="2" spans="1:17" ht="40.5">
      <c r="A2" s="166" t="s">
        <v>907</v>
      </c>
      <c r="B2" s="165" t="s">
        <v>908</v>
      </c>
      <c r="C2" s="165">
        <v>3</v>
      </c>
      <c r="D2" s="169"/>
      <c r="E2" s="169"/>
      <c r="F2" s="169"/>
      <c r="G2" s="10"/>
      <c r="H2" s="10"/>
      <c r="I2" s="164"/>
      <c r="J2" s="164"/>
      <c r="K2" s="164"/>
      <c r="L2" s="164"/>
      <c r="M2" s="164"/>
      <c r="N2" s="164"/>
      <c r="O2" s="164"/>
      <c r="P2" s="164"/>
      <c r="Q2" s="164"/>
    </row>
    <row r="3" spans="1:17" ht="27">
      <c r="A3" s="166" t="s">
        <v>909</v>
      </c>
      <c r="B3" s="165" t="s">
        <v>910</v>
      </c>
      <c r="C3" s="165">
        <v>2</v>
      </c>
      <c r="D3" s="169"/>
      <c r="E3" s="169"/>
      <c r="F3" s="169"/>
      <c r="G3" s="10"/>
      <c r="H3" s="10"/>
      <c r="I3" s="164"/>
      <c r="J3" s="164"/>
      <c r="K3" s="164"/>
      <c r="L3" s="164"/>
      <c r="M3" s="164"/>
      <c r="N3" s="164"/>
      <c r="O3" s="164"/>
      <c r="P3" s="164"/>
      <c r="Q3" s="164"/>
    </row>
    <row r="4" spans="1:17" ht="27">
      <c r="A4" s="166" t="s">
        <v>911</v>
      </c>
      <c r="B4" s="165" t="s">
        <v>912</v>
      </c>
      <c r="C4" s="165">
        <v>2</v>
      </c>
      <c r="D4" s="169"/>
      <c r="E4" s="169"/>
      <c r="F4" s="169"/>
      <c r="G4" s="10"/>
      <c r="H4" s="10"/>
      <c r="I4" s="164"/>
      <c r="J4" s="164"/>
      <c r="K4" s="164"/>
      <c r="L4" s="164"/>
      <c r="M4" s="164"/>
      <c r="N4" s="164"/>
      <c r="O4" s="164"/>
      <c r="P4" s="164"/>
      <c r="Q4" s="164"/>
    </row>
    <row r="5" spans="1:17" ht="27">
      <c r="A5" s="166" t="s">
        <v>913</v>
      </c>
      <c r="B5" s="165" t="s">
        <v>914</v>
      </c>
      <c r="C5" s="165">
        <v>1</v>
      </c>
      <c r="D5" s="169"/>
      <c r="E5" s="169"/>
      <c r="F5" s="169"/>
      <c r="G5" s="10"/>
      <c r="H5" s="10"/>
      <c r="I5" s="164"/>
      <c r="J5" s="164"/>
      <c r="K5" s="164"/>
      <c r="L5" s="164"/>
      <c r="M5" s="164"/>
      <c r="N5" s="164"/>
      <c r="O5" s="164"/>
      <c r="P5" s="164"/>
      <c r="Q5" s="164"/>
    </row>
    <row r="6" spans="1:17" ht="40.5">
      <c r="A6" s="166" t="s">
        <v>915</v>
      </c>
      <c r="B6" s="165" t="s">
        <v>916</v>
      </c>
      <c r="C6" s="165">
        <v>3</v>
      </c>
      <c r="D6" s="169"/>
      <c r="E6" s="169"/>
      <c r="F6" s="169"/>
      <c r="G6" s="10"/>
      <c r="H6" s="10"/>
      <c r="I6" s="164"/>
      <c r="J6" s="164"/>
      <c r="K6" s="164"/>
      <c r="L6" s="164"/>
      <c r="M6" s="164"/>
      <c r="N6" s="164"/>
      <c r="O6" s="164"/>
      <c r="P6" s="164"/>
      <c r="Q6" s="164"/>
    </row>
    <row r="7" spans="1:17" ht="27">
      <c r="A7" s="166" t="s">
        <v>917</v>
      </c>
      <c r="B7" s="165" t="s">
        <v>918</v>
      </c>
      <c r="C7" s="165">
        <v>1</v>
      </c>
      <c r="D7" s="169"/>
      <c r="E7" s="169"/>
      <c r="F7" s="169"/>
      <c r="G7" s="10"/>
      <c r="H7" s="10"/>
      <c r="I7" s="164"/>
      <c r="J7" s="164"/>
      <c r="K7" s="164"/>
      <c r="L7" s="164"/>
      <c r="M7" s="164"/>
      <c r="N7" s="164"/>
      <c r="O7" s="164"/>
      <c r="P7" s="164"/>
      <c r="Q7" s="164"/>
    </row>
    <row r="8" spans="1:17" ht="40.5">
      <c r="A8" s="166" t="s">
        <v>919</v>
      </c>
      <c r="B8" s="165" t="s">
        <v>920</v>
      </c>
      <c r="C8" s="165">
        <v>1</v>
      </c>
      <c r="D8" s="169"/>
      <c r="E8" s="169"/>
      <c r="F8" s="169"/>
      <c r="G8" s="10"/>
      <c r="H8" s="10"/>
      <c r="I8" s="164"/>
      <c r="J8" s="164"/>
      <c r="K8" s="164"/>
      <c r="L8" s="164"/>
      <c r="M8" s="164"/>
      <c r="N8" s="164"/>
      <c r="O8" s="164"/>
      <c r="P8" s="164"/>
      <c r="Q8" s="164"/>
    </row>
    <row r="9" spans="1:17" ht="54">
      <c r="A9" s="166" t="s">
        <v>921</v>
      </c>
      <c r="B9" s="165" t="s">
        <v>922</v>
      </c>
      <c r="C9" s="165">
        <v>2</v>
      </c>
      <c r="D9" s="169"/>
      <c r="E9" s="169"/>
      <c r="F9" s="169"/>
      <c r="G9" s="10"/>
      <c r="H9" s="10"/>
      <c r="I9" s="164"/>
      <c r="J9" s="164"/>
      <c r="K9" s="164"/>
      <c r="L9" s="164"/>
      <c r="M9" s="164"/>
      <c r="N9" s="164"/>
      <c r="O9" s="164"/>
      <c r="P9" s="164"/>
      <c r="Q9" s="164"/>
    </row>
    <row r="10" spans="1:17">
      <c r="A10" s="167"/>
      <c r="B10" s="168"/>
      <c r="C10" s="168"/>
      <c r="D10" s="168"/>
      <c r="E10" s="168"/>
      <c r="F10" s="168"/>
      <c r="G10" s="10"/>
      <c r="H10" s="10"/>
      <c r="I10" s="164"/>
      <c r="J10" s="164"/>
      <c r="K10" s="164"/>
      <c r="L10" s="164"/>
      <c r="M10" s="164"/>
      <c r="N10" s="164"/>
      <c r="O10" s="164"/>
      <c r="P10" s="164"/>
      <c r="Q10" s="164"/>
    </row>
    <row r="11" spans="1:17">
      <c r="A11" s="166"/>
      <c r="B11" s="165"/>
      <c r="C11" s="165"/>
      <c r="D11" s="165"/>
      <c r="E11" s="165"/>
      <c r="F11" s="165"/>
      <c r="G11" s="10"/>
      <c r="H11" s="10"/>
      <c r="I11" s="164"/>
      <c r="J11" s="164"/>
      <c r="K11" s="164"/>
      <c r="L11" s="164"/>
      <c r="M11" s="164"/>
      <c r="N11" s="164"/>
      <c r="O11" s="164"/>
      <c r="P11" s="164"/>
      <c r="Q11" s="164"/>
    </row>
    <row r="12" spans="1:17">
      <c r="A12" s="166"/>
      <c r="B12" s="165"/>
      <c r="C12" s="165"/>
      <c r="D12" s="165"/>
      <c r="E12" s="165"/>
      <c r="F12" s="165"/>
      <c r="G12" s="10"/>
      <c r="H12" s="10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1:17">
      <c r="A13" s="166"/>
      <c r="B13" s="165"/>
      <c r="C13" s="165"/>
      <c r="D13" s="165"/>
      <c r="E13" s="165"/>
      <c r="F13" s="165"/>
      <c r="G13" s="10"/>
      <c r="H13" s="10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7">
      <c r="A14" s="165"/>
      <c r="B14" s="165"/>
      <c r="C14" s="165"/>
      <c r="D14" s="165"/>
      <c r="E14" s="165"/>
      <c r="F14" s="165"/>
      <c r="G14" s="10"/>
      <c r="H14" s="10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7">
      <c r="A15" s="165"/>
      <c r="B15" s="165"/>
      <c r="C15" s="165"/>
      <c r="D15" s="165"/>
      <c r="E15" s="165"/>
      <c r="F15" s="165"/>
      <c r="G15" s="10"/>
      <c r="H15" s="10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7">
      <c r="A16" s="165"/>
      <c r="B16" s="165"/>
      <c r="C16" s="165"/>
      <c r="D16" s="165"/>
      <c r="E16" s="165"/>
      <c r="F16" s="165"/>
      <c r="G16" s="10"/>
      <c r="H16" s="10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1:17">
      <c r="A17" s="165"/>
      <c r="B17" s="165"/>
      <c r="C17" s="165"/>
      <c r="D17" s="165"/>
      <c r="E17" s="165"/>
      <c r="F17" s="165"/>
      <c r="G17" s="10"/>
      <c r="H17" s="10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7">
      <c r="A18" s="165"/>
      <c r="B18" s="165"/>
      <c r="C18" s="165"/>
      <c r="D18" s="165"/>
      <c r="E18" s="165"/>
      <c r="F18" s="165"/>
      <c r="G18" s="10"/>
      <c r="H18" s="10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>
      <c r="A19" s="10"/>
      <c r="B19" s="10"/>
      <c r="C19" s="10"/>
      <c r="D19" s="10"/>
      <c r="E19" s="10"/>
      <c r="F19" s="10"/>
      <c r="G19" s="10"/>
      <c r="H19" s="10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1:17">
      <c r="A20" s="10"/>
      <c r="B20" s="10"/>
      <c r="C20" s="10"/>
      <c r="D20" s="10"/>
      <c r="E20" s="10"/>
      <c r="F20" s="10"/>
      <c r="G20" s="10"/>
      <c r="H20" s="10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1:17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7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1:17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7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1:17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</row>
    <row r="26" spans="1:17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</sheetData>
  <sheetProtection password="C6AC" sheet="1" objects="1" scenarios="1" selectLockedCells="1" selectUn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0"/>
  <dimension ref="A1:H2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0" sqref="B20"/>
    </sheetView>
  </sheetViews>
  <sheetFormatPr defaultRowHeight="15"/>
  <cols>
    <col min="1" max="1" width="21.7109375" customWidth="1"/>
    <col min="2" max="2" width="90.7109375" customWidth="1"/>
    <col min="3" max="7" width="6.7109375" customWidth="1"/>
    <col min="8" max="8" width="30.7109375" customWidth="1"/>
  </cols>
  <sheetData>
    <row r="1" spans="1:8" ht="15.75">
      <c r="A1" s="46" t="s">
        <v>532</v>
      </c>
      <c r="B1" s="46" t="s">
        <v>876</v>
      </c>
      <c r="C1" s="46" t="s">
        <v>805</v>
      </c>
      <c r="D1" s="46" t="s">
        <v>806</v>
      </c>
      <c r="E1" s="46" t="s">
        <v>807</v>
      </c>
      <c r="F1" s="46" t="s">
        <v>808</v>
      </c>
      <c r="G1" s="46" t="s">
        <v>796</v>
      </c>
      <c r="H1" s="46" t="s">
        <v>928</v>
      </c>
    </row>
    <row r="2" spans="1:8" ht="28.5">
      <c r="A2" s="176" t="s">
        <v>927</v>
      </c>
      <c r="B2" s="165" t="s">
        <v>931</v>
      </c>
      <c r="C2" s="165">
        <v>1</v>
      </c>
      <c r="D2" s="169"/>
      <c r="E2" s="169"/>
      <c r="F2" s="165">
        <v>15</v>
      </c>
      <c r="G2" s="60">
        <v>1</v>
      </c>
      <c r="H2" s="165" t="s">
        <v>929</v>
      </c>
    </row>
    <row r="3" spans="1:8" ht="40.5">
      <c r="A3" s="177" t="s">
        <v>930</v>
      </c>
      <c r="B3" s="165" t="s">
        <v>973</v>
      </c>
      <c r="C3" s="165">
        <v>2</v>
      </c>
      <c r="D3" s="169"/>
      <c r="E3" s="169"/>
      <c r="F3" s="165">
        <v>10</v>
      </c>
      <c r="G3" s="60">
        <v>1</v>
      </c>
      <c r="H3" s="165" t="s">
        <v>932</v>
      </c>
    </row>
    <row r="4" spans="1:8" ht="40.5">
      <c r="A4" s="166" t="s">
        <v>933</v>
      </c>
      <c r="B4" s="165" t="s">
        <v>974</v>
      </c>
      <c r="C4" s="165">
        <v>1</v>
      </c>
      <c r="D4" s="169"/>
      <c r="E4" s="169"/>
      <c r="F4" s="165">
        <v>15</v>
      </c>
      <c r="G4" s="60">
        <v>1</v>
      </c>
      <c r="H4" s="165" t="s">
        <v>934</v>
      </c>
    </row>
    <row r="5" spans="1:8" ht="28.5">
      <c r="A5" s="166" t="s">
        <v>935</v>
      </c>
      <c r="B5" s="165" t="s">
        <v>975</v>
      </c>
      <c r="C5" s="165">
        <v>2</v>
      </c>
      <c r="D5" s="169"/>
      <c r="E5" s="169"/>
      <c r="F5" s="165">
        <v>10</v>
      </c>
      <c r="G5" s="60">
        <v>1</v>
      </c>
      <c r="H5" s="165" t="s">
        <v>936</v>
      </c>
    </row>
    <row r="6" spans="1:8" ht="41.25" thickBot="1">
      <c r="A6" s="171" t="s">
        <v>937</v>
      </c>
      <c r="B6" s="172" t="s">
        <v>976</v>
      </c>
      <c r="C6" s="172">
        <v>1</v>
      </c>
      <c r="D6" s="173"/>
      <c r="E6" s="173"/>
      <c r="F6" s="172">
        <v>15</v>
      </c>
      <c r="G6" s="178">
        <v>1</v>
      </c>
      <c r="H6" s="172" t="s">
        <v>938</v>
      </c>
    </row>
    <row r="7" spans="1:8" ht="29.25" thickTop="1">
      <c r="A7" s="177" t="s">
        <v>939</v>
      </c>
      <c r="B7" s="174" t="s">
        <v>978</v>
      </c>
      <c r="C7" s="174">
        <v>1</v>
      </c>
      <c r="D7" s="175"/>
      <c r="E7" s="175"/>
      <c r="F7" s="174">
        <v>25</v>
      </c>
      <c r="G7" s="179">
        <v>2</v>
      </c>
      <c r="H7" s="174" t="s">
        <v>940</v>
      </c>
    </row>
    <row r="8" spans="1:8" ht="28.5">
      <c r="A8" s="166" t="s">
        <v>941</v>
      </c>
      <c r="B8" s="165" t="s">
        <v>977</v>
      </c>
      <c r="C8" s="165">
        <v>2</v>
      </c>
      <c r="D8" s="169"/>
      <c r="E8" s="169"/>
      <c r="F8" s="165">
        <v>20</v>
      </c>
      <c r="G8" s="60">
        <v>2</v>
      </c>
      <c r="H8" s="165" t="s">
        <v>942</v>
      </c>
    </row>
    <row r="9" spans="1:8" ht="40.5">
      <c r="A9" s="166" t="s">
        <v>943</v>
      </c>
      <c r="B9" s="165" t="s">
        <v>979</v>
      </c>
      <c r="C9" s="165">
        <v>2</v>
      </c>
      <c r="D9" s="169"/>
      <c r="E9" s="169"/>
      <c r="F9" s="165">
        <v>20</v>
      </c>
      <c r="G9" s="60">
        <v>2</v>
      </c>
      <c r="H9" s="165" t="s">
        <v>944</v>
      </c>
    </row>
    <row r="10" spans="1:8" ht="28.5">
      <c r="A10" s="166" t="s">
        <v>945</v>
      </c>
      <c r="B10" s="165" t="s">
        <v>980</v>
      </c>
      <c r="C10" s="165">
        <v>1</v>
      </c>
      <c r="D10" s="169"/>
      <c r="E10" s="169"/>
      <c r="F10" s="165">
        <v>25</v>
      </c>
      <c r="G10" s="60">
        <v>2</v>
      </c>
      <c r="H10" s="165" t="s">
        <v>946</v>
      </c>
    </row>
    <row r="11" spans="1:8" ht="40.5">
      <c r="A11" s="166" t="s">
        <v>947</v>
      </c>
      <c r="B11" s="165" t="s">
        <v>981</v>
      </c>
      <c r="C11" s="165">
        <v>1</v>
      </c>
      <c r="D11" s="169"/>
      <c r="E11" s="169"/>
      <c r="F11" s="165">
        <v>25</v>
      </c>
      <c r="G11" s="60">
        <v>2</v>
      </c>
      <c r="H11" s="165" t="s">
        <v>948</v>
      </c>
    </row>
    <row r="12" spans="1:8" ht="41.25" thickBot="1">
      <c r="A12" s="171" t="s">
        <v>949</v>
      </c>
      <c r="B12" s="172" t="s">
        <v>982</v>
      </c>
      <c r="C12" s="172">
        <v>2</v>
      </c>
      <c r="D12" s="173"/>
      <c r="E12" s="173"/>
      <c r="F12" s="172">
        <v>20</v>
      </c>
      <c r="G12" s="178">
        <v>2</v>
      </c>
      <c r="H12" s="172" t="s">
        <v>950</v>
      </c>
    </row>
    <row r="13" spans="1:8" ht="41.25" thickTop="1">
      <c r="A13" s="177" t="s">
        <v>951</v>
      </c>
      <c r="B13" s="174" t="s">
        <v>983</v>
      </c>
      <c r="C13" s="174">
        <v>1</v>
      </c>
      <c r="D13" s="175"/>
      <c r="E13" s="175"/>
      <c r="F13" s="174">
        <v>20</v>
      </c>
      <c r="G13" s="179">
        <v>3</v>
      </c>
      <c r="H13" s="174" t="s">
        <v>952</v>
      </c>
    </row>
    <row r="14" spans="1:8" ht="28.5">
      <c r="A14" s="177" t="s">
        <v>953</v>
      </c>
      <c r="B14" s="165" t="s">
        <v>984</v>
      </c>
      <c r="C14" s="165">
        <v>1</v>
      </c>
      <c r="D14" s="169"/>
      <c r="E14" s="169"/>
      <c r="F14" s="165">
        <v>20</v>
      </c>
      <c r="G14" s="60">
        <v>3</v>
      </c>
      <c r="H14" s="165" t="s">
        <v>954</v>
      </c>
    </row>
    <row r="15" spans="1:8" ht="42">
      <c r="A15" s="177" t="s">
        <v>955</v>
      </c>
      <c r="B15" s="165" t="s">
        <v>972</v>
      </c>
      <c r="C15" s="165">
        <v>2</v>
      </c>
      <c r="D15" s="169"/>
      <c r="E15" s="169"/>
      <c r="F15" s="165">
        <v>15</v>
      </c>
      <c r="G15" s="60">
        <v>3</v>
      </c>
      <c r="H15" s="165" t="s">
        <v>956</v>
      </c>
    </row>
    <row r="16" spans="1:8" ht="28.5">
      <c r="A16" s="177" t="s">
        <v>957</v>
      </c>
      <c r="B16" s="165" t="s">
        <v>971</v>
      </c>
      <c r="C16" s="165">
        <v>1</v>
      </c>
      <c r="D16" s="169"/>
      <c r="E16" s="169"/>
      <c r="F16" s="165">
        <v>10</v>
      </c>
      <c r="G16" s="60">
        <v>3</v>
      </c>
      <c r="H16" s="165" t="s">
        <v>958</v>
      </c>
    </row>
    <row r="17" spans="1:8" ht="54">
      <c r="A17" s="166" t="s">
        <v>959</v>
      </c>
      <c r="B17" s="165" t="s">
        <v>970</v>
      </c>
      <c r="C17" s="165">
        <v>2</v>
      </c>
      <c r="D17" s="169"/>
      <c r="E17" s="169"/>
      <c r="F17" s="165">
        <v>20</v>
      </c>
      <c r="G17" s="60">
        <v>3</v>
      </c>
      <c r="H17" s="165" t="s">
        <v>960</v>
      </c>
    </row>
    <row r="18" spans="1:8" ht="28.5">
      <c r="A18" s="166" t="s">
        <v>961</v>
      </c>
      <c r="B18" s="165" t="s">
        <v>969</v>
      </c>
      <c r="C18" s="165">
        <v>1</v>
      </c>
      <c r="D18" s="169"/>
      <c r="E18" s="169"/>
      <c r="F18" s="165">
        <v>20</v>
      </c>
      <c r="G18" s="60">
        <v>3</v>
      </c>
      <c r="H18" s="165" t="s">
        <v>962</v>
      </c>
    </row>
    <row r="19" spans="1:8" ht="54">
      <c r="A19" s="166" t="s">
        <v>963</v>
      </c>
      <c r="B19" s="165" t="s">
        <v>968</v>
      </c>
      <c r="C19" s="165">
        <v>2</v>
      </c>
      <c r="D19" s="169"/>
      <c r="E19" s="169"/>
      <c r="F19" s="165">
        <v>20</v>
      </c>
      <c r="G19" s="60">
        <v>3</v>
      </c>
      <c r="H19" s="165" t="s">
        <v>964</v>
      </c>
    </row>
    <row r="20" spans="1:8" ht="28.5">
      <c r="A20" s="177" t="s">
        <v>966</v>
      </c>
      <c r="B20" s="165" t="s">
        <v>967</v>
      </c>
      <c r="C20" s="165">
        <v>2</v>
      </c>
      <c r="D20" s="169"/>
      <c r="E20" s="169"/>
      <c r="F20" s="165">
        <v>15</v>
      </c>
      <c r="G20" s="60">
        <v>3</v>
      </c>
      <c r="H20" s="165" t="s">
        <v>965</v>
      </c>
    </row>
    <row r="21" spans="1:8">
      <c r="A21" s="167"/>
      <c r="B21" s="168"/>
      <c r="C21" s="168"/>
      <c r="D21" s="168"/>
      <c r="E21" s="168"/>
      <c r="F21" s="168"/>
      <c r="G21" s="168"/>
      <c r="H21" s="168"/>
    </row>
    <row r="22" spans="1:8">
      <c r="A22" s="166"/>
      <c r="B22" s="165"/>
      <c r="C22" s="165"/>
      <c r="D22" s="165"/>
      <c r="E22" s="165"/>
      <c r="F22" s="165"/>
      <c r="G22" s="165"/>
      <c r="H22" s="165"/>
    </row>
    <row r="23" spans="1:8">
      <c r="A23" s="166"/>
      <c r="B23" s="165"/>
      <c r="C23" s="165"/>
      <c r="D23" s="165"/>
      <c r="E23" s="165"/>
      <c r="F23" s="165"/>
      <c r="G23" s="165"/>
      <c r="H23" s="165"/>
    </row>
    <row r="24" spans="1:8">
      <c r="A24" s="166"/>
      <c r="B24" s="165"/>
      <c r="C24" s="165"/>
      <c r="D24" s="165"/>
      <c r="E24" s="165"/>
      <c r="F24" s="165"/>
      <c r="G24" s="165"/>
      <c r="H24" s="165"/>
    </row>
    <row r="25" spans="1:8">
      <c r="A25" s="166"/>
      <c r="B25" s="165"/>
      <c r="C25" s="165"/>
      <c r="D25" s="165"/>
      <c r="E25" s="165"/>
      <c r="F25" s="165"/>
      <c r="G25" s="165"/>
      <c r="H25" s="165"/>
    </row>
    <row r="26" spans="1:8">
      <c r="A26" s="166"/>
      <c r="B26" s="165"/>
      <c r="C26" s="165"/>
      <c r="D26" s="165"/>
      <c r="E26" s="165"/>
      <c r="F26" s="165"/>
      <c r="G26" s="165"/>
    </row>
    <row r="27" spans="1:8" ht="15.75">
      <c r="A27" s="28"/>
      <c r="B27" s="10"/>
      <c r="C27" s="10"/>
      <c r="D27" s="10"/>
      <c r="E27" s="10"/>
      <c r="F27" s="10"/>
      <c r="G27" s="10"/>
    </row>
    <row r="28" spans="1:8">
      <c r="A28" s="170"/>
    </row>
  </sheetData>
  <sheetProtection password="C6AC" sheet="1" objects="1" scenarios="1" selectLockedCells="1" selectUnlockedCells="1"/>
  <hyperlinks>
    <hyperlink ref="A2" r:id="rId1"/>
    <hyperlink ref="A3" r:id="rId2"/>
    <hyperlink ref="A7" r:id="rId3"/>
    <hyperlink ref="A13" r:id="rId4"/>
    <hyperlink ref="A14" r:id="rId5"/>
    <hyperlink ref="A15" r:id="rId6"/>
    <hyperlink ref="A16" r:id="rId7"/>
    <hyperlink ref="A20" r:id="rId8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2"/>
  <dimension ref="A1:F6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9" sqref="A9"/>
    </sheetView>
  </sheetViews>
  <sheetFormatPr defaultRowHeight="15"/>
  <cols>
    <col min="1" max="1" width="30.7109375" customWidth="1"/>
    <col min="2" max="2" width="12.7109375" style="148" customWidth="1"/>
    <col min="3" max="3" width="120.7109375" customWidth="1"/>
  </cols>
  <sheetData>
    <row r="1" spans="1:6" s="148" customFormat="1" ht="15.75">
      <c r="A1" s="46" t="s">
        <v>532</v>
      </c>
      <c r="B1" s="46" t="s">
        <v>1075</v>
      </c>
      <c r="C1" s="46" t="s">
        <v>876</v>
      </c>
    </row>
    <row r="2" spans="1:6" ht="15.75">
      <c r="A2" s="28" t="s">
        <v>1013</v>
      </c>
      <c r="B2" s="12" t="s">
        <v>806</v>
      </c>
      <c r="C2" s="10" t="s">
        <v>1028</v>
      </c>
      <c r="D2" s="10"/>
      <c r="E2" s="10"/>
      <c r="F2" s="10"/>
    </row>
    <row r="3" spans="1:6" ht="15.75">
      <c r="A3" s="28" t="s">
        <v>1014</v>
      </c>
      <c r="B3" s="12" t="s">
        <v>806</v>
      </c>
      <c r="C3" s="10" t="s">
        <v>1026</v>
      </c>
      <c r="D3" s="10"/>
      <c r="E3" s="10"/>
      <c r="F3" s="10"/>
    </row>
    <row r="4" spans="1:6" ht="15.75">
      <c r="A4" s="28" t="s">
        <v>1015</v>
      </c>
      <c r="B4" s="12" t="s">
        <v>806</v>
      </c>
      <c r="C4" s="10" t="s">
        <v>1044</v>
      </c>
      <c r="D4" s="10"/>
      <c r="E4" s="10"/>
      <c r="F4" s="10"/>
    </row>
    <row r="5" spans="1:6" ht="15.75">
      <c r="A5" s="28" t="s">
        <v>1016</v>
      </c>
      <c r="B5" s="12" t="s">
        <v>806</v>
      </c>
      <c r="C5" s="10" t="s">
        <v>1027</v>
      </c>
      <c r="D5" s="10"/>
      <c r="E5" s="10"/>
      <c r="F5" s="10"/>
    </row>
    <row r="6" spans="1:6" ht="15.75">
      <c r="A6" s="28" t="s">
        <v>1029</v>
      </c>
      <c r="B6" s="12" t="s">
        <v>806</v>
      </c>
      <c r="C6" s="10" t="s">
        <v>1033</v>
      </c>
      <c r="D6" s="10"/>
      <c r="E6" s="10"/>
      <c r="F6" s="10"/>
    </row>
    <row r="7" spans="1:6" s="148" customFormat="1" ht="15.75">
      <c r="A7" s="28" t="s">
        <v>1030</v>
      </c>
      <c r="B7" s="12" t="s">
        <v>806</v>
      </c>
      <c r="C7" s="10" t="s">
        <v>1033</v>
      </c>
      <c r="D7" s="10"/>
      <c r="E7" s="10"/>
      <c r="F7" s="10"/>
    </row>
    <row r="8" spans="1:6" s="148" customFormat="1" ht="15.75">
      <c r="A8" s="28" t="s">
        <v>1031</v>
      </c>
      <c r="B8" s="12" t="s">
        <v>806</v>
      </c>
      <c r="C8" s="10" t="s">
        <v>1033</v>
      </c>
      <c r="D8" s="10"/>
      <c r="E8" s="10"/>
      <c r="F8" s="10"/>
    </row>
    <row r="9" spans="1:6" s="148" customFormat="1" ht="15.75">
      <c r="A9" s="28" t="s">
        <v>1032</v>
      </c>
      <c r="B9" s="12" t="s">
        <v>806</v>
      </c>
      <c r="C9" s="10" t="s">
        <v>1033</v>
      </c>
      <c r="D9" s="10"/>
      <c r="E9" s="10"/>
      <c r="F9" s="10"/>
    </row>
    <row r="10" spans="1:6" ht="15.75">
      <c r="A10" s="28" t="s">
        <v>1017</v>
      </c>
      <c r="B10" s="12" t="s">
        <v>806</v>
      </c>
      <c r="C10" s="10" t="s">
        <v>1034</v>
      </c>
      <c r="D10" s="10"/>
      <c r="E10" s="10"/>
      <c r="F10" s="10"/>
    </row>
    <row r="11" spans="1:6" ht="15.75">
      <c r="A11" s="28" t="s">
        <v>1018</v>
      </c>
      <c r="B11" s="12" t="s">
        <v>806</v>
      </c>
      <c r="C11" s="10" t="s">
        <v>1035</v>
      </c>
      <c r="D11" s="10"/>
      <c r="E11" s="10"/>
      <c r="F11" s="10"/>
    </row>
    <row r="12" spans="1:6" ht="15.75">
      <c r="A12" s="28" t="s">
        <v>1019</v>
      </c>
      <c r="B12" s="12" t="s">
        <v>806</v>
      </c>
      <c r="C12" s="10" t="s">
        <v>1036</v>
      </c>
      <c r="D12" s="10"/>
      <c r="E12" s="10"/>
      <c r="F12" s="10"/>
    </row>
    <row r="13" spans="1:6" ht="15.75">
      <c r="A13" s="28" t="s">
        <v>1020</v>
      </c>
      <c r="B13" s="12" t="s">
        <v>806</v>
      </c>
      <c r="C13" s="10" t="s">
        <v>1037</v>
      </c>
      <c r="D13" s="10"/>
      <c r="E13" s="10"/>
      <c r="F13" s="10"/>
    </row>
    <row r="14" spans="1:6" ht="15.75">
      <c r="A14" s="28" t="s">
        <v>1021</v>
      </c>
      <c r="B14" s="12" t="s">
        <v>1076</v>
      </c>
      <c r="C14" s="10" t="s">
        <v>1038</v>
      </c>
      <c r="D14" s="10"/>
      <c r="E14" s="10"/>
      <c r="F14" s="10"/>
    </row>
    <row r="15" spans="1:6" ht="15.75">
      <c r="A15" s="28" t="s">
        <v>1022</v>
      </c>
      <c r="B15" s="12" t="s">
        <v>1076</v>
      </c>
      <c r="C15" s="10" t="s">
        <v>1039</v>
      </c>
      <c r="D15" s="10"/>
      <c r="E15" s="10"/>
      <c r="F15" s="10"/>
    </row>
    <row r="16" spans="1:6" ht="15.75">
      <c r="A16" s="28" t="s">
        <v>1023</v>
      </c>
      <c r="B16" s="12" t="s">
        <v>1076</v>
      </c>
      <c r="C16" s="10" t="s">
        <v>1045</v>
      </c>
      <c r="D16" s="10"/>
      <c r="E16" s="10"/>
      <c r="F16" s="10"/>
    </row>
    <row r="17" spans="1:6" ht="15.75">
      <c r="A17" s="28" t="s">
        <v>1024</v>
      </c>
      <c r="B17" s="12" t="s">
        <v>1076</v>
      </c>
      <c r="C17" s="10" t="s">
        <v>1040</v>
      </c>
      <c r="D17" s="10"/>
      <c r="E17" s="10"/>
      <c r="F17" s="10"/>
    </row>
    <row r="18" spans="1:6" ht="15.75">
      <c r="A18" s="28" t="s">
        <v>1025</v>
      </c>
      <c r="B18" s="12" t="s">
        <v>1076</v>
      </c>
      <c r="C18" s="10" t="s">
        <v>1046</v>
      </c>
      <c r="D18" s="10"/>
      <c r="E18" s="10"/>
      <c r="F18" s="10"/>
    </row>
    <row r="19" spans="1:6" ht="15.75">
      <c r="A19" s="28" t="s">
        <v>1047</v>
      </c>
      <c r="B19" s="12" t="s">
        <v>1076</v>
      </c>
      <c r="C19" s="10" t="s">
        <v>1048</v>
      </c>
      <c r="D19" s="10"/>
      <c r="E19" s="10"/>
      <c r="F19" s="10"/>
    </row>
    <row r="20" spans="1:6" s="148" customFormat="1" ht="15.75">
      <c r="A20" s="28" t="s">
        <v>1049</v>
      </c>
      <c r="B20" s="12" t="s">
        <v>1076</v>
      </c>
      <c r="C20" s="10" t="s">
        <v>1052</v>
      </c>
      <c r="D20" s="10"/>
      <c r="E20" s="10"/>
      <c r="F20" s="10"/>
    </row>
    <row r="21" spans="1:6" s="148" customFormat="1" ht="15.75">
      <c r="A21" s="28" t="s">
        <v>1050</v>
      </c>
      <c r="B21" s="12" t="s">
        <v>1076</v>
      </c>
      <c r="C21" s="10" t="s">
        <v>1053</v>
      </c>
      <c r="D21" s="10"/>
      <c r="E21" s="10"/>
      <c r="F21" s="10"/>
    </row>
    <row r="22" spans="1:6" s="148" customFormat="1" ht="15.75">
      <c r="A22" s="28" t="s">
        <v>1051</v>
      </c>
      <c r="B22" s="12" t="s">
        <v>1076</v>
      </c>
      <c r="C22" s="10" t="s">
        <v>1054</v>
      </c>
      <c r="D22" s="10"/>
      <c r="E22" s="10"/>
      <c r="F22" s="10"/>
    </row>
    <row r="23" spans="1:6" s="148" customFormat="1" ht="15.75">
      <c r="A23" s="28" t="s">
        <v>1055</v>
      </c>
      <c r="B23" s="12" t="s">
        <v>1076</v>
      </c>
      <c r="C23" s="10" t="s">
        <v>1056</v>
      </c>
      <c r="D23" s="10"/>
      <c r="E23" s="10"/>
      <c r="F23" s="10"/>
    </row>
    <row r="24" spans="1:6" s="148" customFormat="1" ht="15.75">
      <c r="A24" s="28" t="s">
        <v>1057</v>
      </c>
      <c r="B24" s="12" t="s">
        <v>1076</v>
      </c>
      <c r="C24" s="10" t="s">
        <v>1058</v>
      </c>
      <c r="D24" s="10"/>
      <c r="E24" s="10"/>
      <c r="F24" s="10"/>
    </row>
    <row r="25" spans="1:6" s="148" customFormat="1" ht="15.75">
      <c r="A25" s="28" t="s">
        <v>1059</v>
      </c>
      <c r="B25" s="12" t="s">
        <v>1076</v>
      </c>
      <c r="C25" s="10" t="s">
        <v>1061</v>
      </c>
      <c r="D25" s="10"/>
      <c r="E25" s="10"/>
      <c r="F25" s="10"/>
    </row>
    <row r="26" spans="1:6" ht="15.75">
      <c r="A26" s="28" t="s">
        <v>1060</v>
      </c>
      <c r="B26" s="12" t="s">
        <v>1076</v>
      </c>
      <c r="C26" s="10" t="s">
        <v>1064</v>
      </c>
      <c r="D26" s="10"/>
      <c r="E26" s="10"/>
      <c r="F26" s="10"/>
    </row>
    <row r="27" spans="1:6" ht="15.75">
      <c r="A27" s="28" t="s">
        <v>1062</v>
      </c>
      <c r="B27" s="12" t="s">
        <v>1076</v>
      </c>
      <c r="C27" s="10" t="s">
        <v>1065</v>
      </c>
      <c r="D27" s="10"/>
      <c r="E27" s="10"/>
      <c r="F27" s="10"/>
    </row>
    <row r="28" spans="1:6" ht="15.75">
      <c r="A28" s="28" t="s">
        <v>1063</v>
      </c>
      <c r="B28" s="12" t="s">
        <v>1076</v>
      </c>
      <c r="C28" s="10" t="s">
        <v>1067</v>
      </c>
      <c r="D28" s="10"/>
      <c r="E28" s="10"/>
      <c r="F28" s="10"/>
    </row>
    <row r="29" spans="1:6" ht="15.75">
      <c r="A29" s="28" t="s">
        <v>1066</v>
      </c>
      <c r="B29" s="12" t="s">
        <v>1076</v>
      </c>
      <c r="C29" s="10" t="s">
        <v>1068</v>
      </c>
      <c r="D29" s="10"/>
      <c r="E29" s="10"/>
      <c r="F29" s="10"/>
    </row>
    <row r="30" spans="1:6" ht="15.75">
      <c r="A30" s="188" t="s">
        <v>1069</v>
      </c>
      <c r="B30" s="182" t="s">
        <v>1076</v>
      </c>
      <c r="C30" s="14" t="s">
        <v>1070</v>
      </c>
      <c r="D30" s="10"/>
      <c r="E30" s="10"/>
      <c r="F30" s="10"/>
    </row>
    <row r="31" spans="1:6" ht="15.75">
      <c r="A31" s="188" t="s">
        <v>1077</v>
      </c>
      <c r="B31" s="182" t="s">
        <v>1093</v>
      </c>
      <c r="C31" s="14" t="s">
        <v>1094</v>
      </c>
      <c r="D31" s="10"/>
      <c r="E31" s="10"/>
      <c r="F31" s="10"/>
    </row>
    <row r="32" spans="1:6" ht="15.75">
      <c r="A32" s="188" t="s">
        <v>1078</v>
      </c>
      <c r="B32" s="182" t="s">
        <v>1093</v>
      </c>
      <c r="C32" s="14" t="s">
        <v>1097</v>
      </c>
      <c r="D32" s="10"/>
      <c r="E32" s="192" t="s">
        <v>1096</v>
      </c>
      <c r="F32" s="10"/>
    </row>
    <row r="33" spans="1:6" ht="15.75">
      <c r="A33" s="188" t="s">
        <v>1079</v>
      </c>
      <c r="B33" s="182" t="s">
        <v>1093</v>
      </c>
      <c r="C33" s="14" t="s">
        <v>1098</v>
      </c>
      <c r="D33" s="10"/>
      <c r="E33" s="10"/>
      <c r="F33" s="10"/>
    </row>
    <row r="34" spans="1:6" ht="15.75">
      <c r="A34" s="188" t="s">
        <v>1080</v>
      </c>
      <c r="B34" s="182" t="s">
        <v>1093</v>
      </c>
      <c r="C34" s="14" t="s">
        <v>1099</v>
      </c>
      <c r="D34" s="10"/>
      <c r="E34" s="10"/>
      <c r="F34" s="10"/>
    </row>
    <row r="35" spans="1:6" ht="15.75">
      <c r="A35" s="188" t="s">
        <v>1081</v>
      </c>
      <c r="B35" s="182" t="s">
        <v>1093</v>
      </c>
      <c r="C35" s="14" t="s">
        <v>1100</v>
      </c>
      <c r="D35" s="10"/>
      <c r="E35" s="10"/>
      <c r="F35" s="10"/>
    </row>
    <row r="36" spans="1:6" ht="15.75">
      <c r="A36" s="188" t="s">
        <v>1082</v>
      </c>
      <c r="B36" s="182" t="s">
        <v>1093</v>
      </c>
      <c r="C36" s="14" t="s">
        <v>1101</v>
      </c>
      <c r="D36" s="10"/>
      <c r="E36" s="10"/>
      <c r="F36" s="10"/>
    </row>
    <row r="37" spans="1:6" ht="15.75">
      <c r="A37" s="188" t="s">
        <v>1083</v>
      </c>
      <c r="B37" s="182" t="s">
        <v>1093</v>
      </c>
      <c r="C37" s="14" t="s">
        <v>1102</v>
      </c>
      <c r="D37" s="10"/>
      <c r="E37" s="10"/>
      <c r="F37" s="10"/>
    </row>
    <row r="38" spans="1:6" ht="15.75">
      <c r="A38" s="188" t="s">
        <v>1092</v>
      </c>
      <c r="B38" s="182" t="s">
        <v>1093</v>
      </c>
      <c r="C38" s="14" t="s">
        <v>1103</v>
      </c>
      <c r="D38" s="10"/>
      <c r="E38" s="10"/>
      <c r="F38" s="10"/>
    </row>
    <row r="39" spans="1:6" ht="15.75">
      <c r="A39" s="188" t="s">
        <v>1084</v>
      </c>
      <c r="B39" s="182" t="s">
        <v>1093</v>
      </c>
      <c r="C39" s="14" t="s">
        <v>1104</v>
      </c>
      <c r="D39" s="10"/>
      <c r="E39" s="10"/>
      <c r="F39" s="10"/>
    </row>
    <row r="40" spans="1:6" ht="15.75">
      <c r="A40" s="188" t="s">
        <v>1041</v>
      </c>
      <c r="B40" s="182" t="s">
        <v>1093</v>
      </c>
      <c r="C40" s="14" t="s">
        <v>1105</v>
      </c>
      <c r="D40" s="10"/>
      <c r="E40" s="10"/>
      <c r="F40" s="10"/>
    </row>
    <row r="41" spans="1:6" ht="15.75">
      <c r="A41" s="188" t="s">
        <v>1085</v>
      </c>
      <c r="B41" s="182" t="s">
        <v>1093</v>
      </c>
      <c r="C41" s="14" t="s">
        <v>1106</v>
      </c>
      <c r="D41" s="10"/>
      <c r="E41" s="10"/>
      <c r="F41" s="10"/>
    </row>
    <row r="42" spans="1:6" ht="15.75">
      <c r="A42" s="188" t="s">
        <v>1086</v>
      </c>
      <c r="B42" s="182" t="s">
        <v>1093</v>
      </c>
      <c r="C42" s="14" t="s">
        <v>1107</v>
      </c>
      <c r="D42" s="10"/>
      <c r="E42" s="10"/>
      <c r="F42" s="10"/>
    </row>
    <row r="43" spans="1:6" ht="15.75">
      <c r="A43" s="188" t="s">
        <v>1109</v>
      </c>
      <c r="B43" s="182" t="s">
        <v>1093</v>
      </c>
      <c r="C43" s="14" t="s">
        <v>1117</v>
      </c>
      <c r="D43" s="10"/>
      <c r="E43" s="10"/>
      <c r="F43" s="10"/>
    </row>
    <row r="44" spans="1:6" ht="15.75">
      <c r="A44" s="188" t="s">
        <v>1110</v>
      </c>
      <c r="B44" s="182" t="s">
        <v>1093</v>
      </c>
      <c r="C44" s="14" t="s">
        <v>1118</v>
      </c>
      <c r="D44" s="10"/>
      <c r="E44" s="10"/>
      <c r="F44" s="10"/>
    </row>
    <row r="45" spans="1:6" s="148" customFormat="1" ht="15.75">
      <c r="A45" s="188" t="s">
        <v>1111</v>
      </c>
      <c r="B45" s="182" t="s">
        <v>1093</v>
      </c>
      <c r="C45" s="14" t="s">
        <v>1119</v>
      </c>
      <c r="D45" s="10"/>
      <c r="E45" s="10"/>
      <c r="F45" s="10"/>
    </row>
    <row r="46" spans="1:6" ht="15.75">
      <c r="A46" s="188" t="s">
        <v>1112</v>
      </c>
      <c r="B46" s="182" t="s">
        <v>1093</v>
      </c>
      <c r="C46" s="14" t="s">
        <v>1120</v>
      </c>
      <c r="D46" s="10"/>
      <c r="E46" s="10"/>
      <c r="F46" s="10"/>
    </row>
    <row r="47" spans="1:6" ht="15.75">
      <c r="A47" s="188" t="s">
        <v>1113</v>
      </c>
      <c r="B47" s="182" t="s">
        <v>1093</v>
      </c>
      <c r="C47" s="14" t="s">
        <v>1121</v>
      </c>
      <c r="D47" s="10"/>
      <c r="E47" s="10"/>
      <c r="F47" s="10"/>
    </row>
    <row r="48" spans="1:6" ht="15.75">
      <c r="A48" s="188" t="s">
        <v>1114</v>
      </c>
      <c r="B48" s="182" t="s">
        <v>1093</v>
      </c>
      <c r="C48" s="10" t="s">
        <v>1122</v>
      </c>
      <c r="D48" s="10"/>
      <c r="E48" s="10"/>
      <c r="F48" s="10"/>
    </row>
    <row r="49" spans="1:6" ht="15.75">
      <c r="A49" s="188" t="s">
        <v>1115</v>
      </c>
      <c r="B49" s="182" t="s">
        <v>1093</v>
      </c>
      <c r="C49" s="10" t="s">
        <v>1123</v>
      </c>
      <c r="D49" s="10"/>
      <c r="E49" s="10"/>
      <c r="F49" s="10"/>
    </row>
    <row r="50" spans="1:6" ht="15.75">
      <c r="A50" s="188" t="s">
        <v>1116</v>
      </c>
      <c r="B50" s="182" t="s">
        <v>1093</v>
      </c>
      <c r="C50" s="10" t="s">
        <v>1124</v>
      </c>
      <c r="D50" s="10"/>
      <c r="E50" s="10"/>
      <c r="F50" s="10"/>
    </row>
    <row r="51" spans="1:6" ht="15.75">
      <c r="A51" s="188" t="s">
        <v>1125</v>
      </c>
      <c r="B51" s="182" t="s">
        <v>1093</v>
      </c>
      <c r="C51" s="10" t="s">
        <v>1126</v>
      </c>
      <c r="D51" s="10"/>
      <c r="E51" s="10"/>
      <c r="F51" s="10"/>
    </row>
    <row r="52" spans="1:6" ht="15.75">
      <c r="A52" s="188" t="s">
        <v>1087</v>
      </c>
      <c r="B52" s="182" t="s">
        <v>1093</v>
      </c>
      <c r="C52" s="10" t="s">
        <v>1128</v>
      </c>
      <c r="D52" s="10"/>
      <c r="E52" s="10"/>
      <c r="F52" s="10"/>
    </row>
    <row r="53" spans="1:6" ht="15.75">
      <c r="A53" s="188" t="s">
        <v>1088</v>
      </c>
      <c r="B53" s="182" t="s">
        <v>1093</v>
      </c>
      <c r="C53" s="10" t="s">
        <v>1131</v>
      </c>
      <c r="D53" s="10"/>
      <c r="E53" s="10"/>
      <c r="F53" s="10"/>
    </row>
    <row r="54" spans="1:6" ht="15.75">
      <c r="A54" s="188" t="s">
        <v>1089</v>
      </c>
      <c r="B54" s="182" t="s">
        <v>1093</v>
      </c>
      <c r="C54" s="10" t="s">
        <v>1132</v>
      </c>
      <c r="D54" s="10"/>
      <c r="E54" s="10"/>
      <c r="F54" s="10"/>
    </row>
    <row r="55" spans="1:6" ht="15.75">
      <c r="A55" s="188" t="s">
        <v>1129</v>
      </c>
      <c r="B55" s="182" t="s">
        <v>1093</v>
      </c>
      <c r="C55" s="10" t="s">
        <v>1133</v>
      </c>
      <c r="D55" s="10"/>
      <c r="E55" s="10"/>
      <c r="F55" s="10"/>
    </row>
    <row r="56" spans="1:6" ht="15.75">
      <c r="A56" s="188" t="s">
        <v>1090</v>
      </c>
      <c r="B56" s="182" t="s">
        <v>1093</v>
      </c>
      <c r="C56" s="10" t="s">
        <v>1134</v>
      </c>
      <c r="D56" s="10"/>
      <c r="E56" s="10"/>
      <c r="F56" s="10"/>
    </row>
    <row r="57" spans="1:6" ht="15.75">
      <c r="A57" s="188" t="s">
        <v>1091</v>
      </c>
      <c r="B57" s="182" t="s">
        <v>1093</v>
      </c>
      <c r="C57" s="10" t="s">
        <v>1135</v>
      </c>
      <c r="D57" s="10"/>
      <c r="E57" s="10"/>
      <c r="F57" s="10"/>
    </row>
    <row r="58" spans="1:6" ht="15.75">
      <c r="A58" s="188" t="s">
        <v>1130</v>
      </c>
      <c r="B58" s="182" t="s">
        <v>1093</v>
      </c>
      <c r="C58" s="10" t="s">
        <v>1136</v>
      </c>
      <c r="D58" s="10"/>
      <c r="E58" s="10"/>
      <c r="F58" s="10"/>
    </row>
    <row r="59" spans="1:6">
      <c r="A59" s="18"/>
      <c r="B59" s="18"/>
      <c r="C59" s="18"/>
      <c r="D59" s="10"/>
      <c r="E59" s="10"/>
      <c r="F59" s="10"/>
    </row>
    <row r="60" spans="1:6">
      <c r="A60" s="10"/>
      <c r="B60" s="10"/>
      <c r="C60" s="10"/>
      <c r="D60" s="10"/>
      <c r="E60" s="10"/>
      <c r="F60" s="10"/>
    </row>
    <row r="61" spans="1:6">
      <c r="A61" s="10"/>
      <c r="B61" s="10"/>
      <c r="C61" s="10"/>
      <c r="D61" s="10"/>
      <c r="E61" s="10"/>
      <c r="F61" s="10"/>
    </row>
  </sheetData>
  <sheetProtection password="C6AC" sheet="1" objects="1" scenarios="1" autoFilter="0"/>
  <autoFilter ref="A1:C58">
    <filterColumn colId="1"/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1"/>
  <dimension ref="A1"/>
  <sheetViews>
    <sheetView zoomScaleNormal="100" workbookViewId="0"/>
  </sheetViews>
  <sheetFormatPr defaultColWidth="0" defaultRowHeight="15" zeroHeight="1"/>
  <cols>
    <col min="1" max="1" width="29" customWidth="1"/>
    <col min="2" max="16384" width="9.140625" hidden="1"/>
  </cols>
  <sheetData>
    <row r="1" ht="218.25" customHeight="1"/>
  </sheetData>
  <sheetProtection password="C6AC" sheet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"/>
  <dimension ref="A1:BU57"/>
  <sheetViews>
    <sheetView view="pageLayout" topLeftCell="S3" zoomScaleNormal="120" workbookViewId="0">
      <selection activeCell="AK45" sqref="AK45:BU45"/>
    </sheetView>
  </sheetViews>
  <sheetFormatPr defaultColWidth="2.7109375" defaultRowHeight="15"/>
  <cols>
    <col min="6" max="6" width="4" customWidth="1"/>
    <col min="7" max="7" width="2.7109375" customWidth="1"/>
    <col min="8" max="8" width="2.42578125" customWidth="1"/>
    <col min="9" max="9" width="1.85546875" customWidth="1"/>
    <col min="15" max="15" width="2.85546875" customWidth="1"/>
    <col min="16" max="16" width="2.85546875" bestFit="1" customWidth="1"/>
    <col min="17" max="17" width="3.28515625" customWidth="1"/>
    <col min="18" max="18" width="3" customWidth="1"/>
    <col min="20" max="20" width="3.140625" customWidth="1"/>
    <col min="21" max="21" width="3.42578125" customWidth="1"/>
    <col min="22" max="22" width="2.42578125" customWidth="1"/>
    <col min="23" max="23" width="3" customWidth="1"/>
    <col min="24" max="24" width="2.85546875" bestFit="1" customWidth="1"/>
    <col min="26" max="26" width="3.28515625" bestFit="1" customWidth="1"/>
    <col min="33" max="33" width="3" customWidth="1"/>
    <col min="34" max="34" width="2.85546875" bestFit="1" customWidth="1"/>
    <col min="35" max="36" width="2.28515625" customWidth="1"/>
    <col min="39" max="39" width="2.7109375" customWidth="1"/>
    <col min="61" max="61" width="2.85546875" bestFit="1" customWidth="1"/>
    <col min="71" max="71" width="1.85546875" customWidth="1"/>
  </cols>
  <sheetData>
    <row r="1" spans="1:73" ht="16.5" thickBot="1">
      <c r="A1" s="371" t="s">
        <v>0</v>
      </c>
      <c r="B1" s="353"/>
      <c r="C1" s="353"/>
      <c r="D1" s="353"/>
      <c r="E1" s="353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3" t="s">
        <v>46</v>
      </c>
      <c r="U1" s="353"/>
      <c r="V1" s="353"/>
      <c r="W1" s="353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5"/>
      <c r="AK1" s="525" t="s">
        <v>1197</v>
      </c>
      <c r="AL1" s="526"/>
      <c r="AM1" s="526"/>
      <c r="AN1" s="526"/>
      <c r="AO1" s="526"/>
      <c r="AP1" s="526"/>
      <c r="AQ1" s="526"/>
      <c r="AR1" s="526"/>
      <c r="AS1" s="526"/>
      <c r="AT1" s="526"/>
      <c r="AU1" s="527"/>
      <c r="AV1" s="330" t="s">
        <v>381</v>
      </c>
      <c r="AW1" s="331"/>
      <c r="AX1" s="331"/>
      <c r="AY1" s="331"/>
      <c r="AZ1" s="331"/>
      <c r="BA1" s="331"/>
      <c r="BB1" s="331"/>
      <c r="BC1" s="331"/>
      <c r="BD1" s="331"/>
      <c r="BE1" s="534">
        <f>(SUMIFS(INDEX(kasztok,,76),INDEX(kasztok,,1),választott_kaszt_1)+kaland_vagyon+Dp_vagyon)*10</f>
        <v>0</v>
      </c>
      <c r="BF1" s="534"/>
      <c r="BG1" s="534"/>
      <c r="BH1" s="535" t="s">
        <v>379</v>
      </c>
      <c r="BI1" s="535"/>
      <c r="BJ1" s="535"/>
      <c r="BK1" s="535"/>
      <c r="BL1" s="535"/>
      <c r="BM1" s="534">
        <f>SUM($BM$4:$BO$44)</f>
        <v>0</v>
      </c>
      <c r="BN1" s="534"/>
      <c r="BO1" s="534"/>
      <c r="BP1" s="532" t="s">
        <v>378</v>
      </c>
      <c r="BQ1" s="532"/>
      <c r="BR1" s="532"/>
      <c r="BS1" s="532"/>
      <c r="BT1" s="532"/>
      <c r="BU1" s="533"/>
    </row>
    <row r="2" spans="1:73" ht="16.5" thickBot="1">
      <c r="A2" s="301" t="s">
        <v>345</v>
      </c>
      <c r="B2" s="302"/>
      <c r="C2" s="302"/>
      <c r="D2" s="302"/>
      <c r="E2" s="302"/>
      <c r="F2" s="302"/>
      <c r="G2" s="302"/>
      <c r="H2" s="303"/>
      <c r="I2" s="362" t="s">
        <v>2</v>
      </c>
      <c r="J2" s="363"/>
      <c r="K2" s="363"/>
      <c r="L2" s="363"/>
      <c r="M2" s="363"/>
      <c r="N2" s="363"/>
      <c r="O2" s="363"/>
      <c r="P2" s="356"/>
      <c r="Q2" s="357"/>
      <c r="R2" s="357"/>
      <c r="S2" s="357"/>
      <c r="T2" s="357"/>
      <c r="U2" s="357"/>
      <c r="V2" s="357"/>
      <c r="W2" s="357"/>
      <c r="X2" s="357"/>
      <c r="Y2" s="357"/>
      <c r="Z2" s="358"/>
      <c r="AA2" s="359" t="s">
        <v>1199</v>
      </c>
      <c r="AB2" s="360"/>
      <c r="AC2" s="360"/>
      <c r="AD2" s="360"/>
      <c r="AE2" s="360"/>
      <c r="AF2" s="360"/>
      <c r="AG2" s="360"/>
      <c r="AH2" s="360"/>
      <c r="AI2" s="360"/>
      <c r="AJ2" s="361"/>
      <c r="AK2" s="522"/>
      <c r="AL2" s="523"/>
      <c r="AM2" s="523"/>
      <c r="AN2" s="523"/>
      <c r="AO2" s="523"/>
      <c r="AP2" s="523"/>
      <c r="AQ2" s="523"/>
      <c r="AR2" s="523"/>
      <c r="AS2" s="523"/>
      <c r="AT2" s="523"/>
      <c r="AU2" s="524"/>
      <c r="AV2" s="337" t="s">
        <v>380</v>
      </c>
      <c r="AW2" s="338"/>
      <c r="AX2" s="338"/>
      <c r="AY2" s="338"/>
      <c r="AZ2" s="338"/>
      <c r="BA2" s="338"/>
      <c r="BB2" s="338"/>
      <c r="BC2" s="338"/>
      <c r="BD2" s="338"/>
      <c r="BE2" s="530">
        <f>$BE$1-$BM$1</f>
        <v>0</v>
      </c>
      <c r="BF2" s="531"/>
      <c r="BG2" s="531"/>
      <c r="BH2" s="528"/>
      <c r="BI2" s="528"/>
      <c r="BJ2" s="528"/>
      <c r="BK2" s="528"/>
      <c r="BL2" s="528"/>
      <c r="BM2" s="528"/>
      <c r="BN2" s="528"/>
      <c r="BO2" s="528"/>
      <c r="BP2" s="528"/>
      <c r="BQ2" s="528"/>
      <c r="BR2" s="528"/>
      <c r="BS2" s="528"/>
      <c r="BT2" s="528"/>
      <c r="BU2" s="529"/>
    </row>
    <row r="3" spans="1:73" ht="15.75">
      <c r="A3" s="318" t="s">
        <v>270</v>
      </c>
      <c r="B3" s="349"/>
      <c r="C3" s="349"/>
      <c r="D3" s="349"/>
      <c r="E3" s="349"/>
      <c r="F3" s="55"/>
      <c r="G3" s="347">
        <f t="shared" ref="G3:G12" si="0">SUMIFS(INDEX(kasztok,,40+ROW()),INDEX(kasztok,,1),választott_kaszt_1)+$F3</f>
        <v>0</v>
      </c>
      <c r="H3" s="348"/>
      <c r="I3" s="318" t="s">
        <v>8</v>
      </c>
      <c r="J3" s="349"/>
      <c r="K3" s="349"/>
      <c r="L3" s="349"/>
      <c r="M3" s="349"/>
      <c r="N3" s="349"/>
      <c r="O3" s="349"/>
      <c r="P3" s="373"/>
      <c r="Q3" s="374"/>
      <c r="R3" s="374"/>
      <c r="S3" s="374"/>
      <c r="T3" s="374"/>
      <c r="U3" s="375"/>
      <c r="V3" s="370" t="s">
        <v>11</v>
      </c>
      <c r="W3" s="370"/>
      <c r="X3" s="370"/>
      <c r="Y3" s="368"/>
      <c r="Z3" s="369"/>
      <c r="AA3" s="579" t="str">
        <f t="shared" ref="AA3:AA10" si="1">IF(választott_faj="",""," "&amp;VLOOKUP(választott_faj,faji_képességek,ROW()-1,FALSE))</f>
        <v/>
      </c>
      <c r="AB3" s="580"/>
      <c r="AC3" s="580"/>
      <c r="AD3" s="580"/>
      <c r="AE3" s="580"/>
      <c r="AF3" s="580"/>
      <c r="AG3" s="580"/>
      <c r="AH3" s="580"/>
      <c r="AI3" s="580"/>
      <c r="AJ3" s="581"/>
      <c r="AK3" s="522"/>
      <c r="AL3" s="523"/>
      <c r="AM3" s="523"/>
      <c r="AN3" s="523"/>
      <c r="AO3" s="523"/>
      <c r="AP3" s="523"/>
      <c r="AQ3" s="523"/>
      <c r="AR3" s="523"/>
      <c r="AS3" s="523"/>
      <c r="AT3" s="523"/>
      <c r="AU3" s="524"/>
      <c r="AV3" s="514" t="s">
        <v>101</v>
      </c>
      <c r="AW3" s="512"/>
      <c r="AX3" s="512"/>
      <c r="AY3" s="512"/>
      <c r="AZ3" s="512"/>
      <c r="BA3" s="512"/>
      <c r="BB3" s="512"/>
      <c r="BC3" s="512"/>
      <c r="BD3" s="512"/>
      <c r="BE3" s="512"/>
      <c r="BF3" s="512"/>
      <c r="BG3" s="512"/>
      <c r="BH3" s="512" t="s">
        <v>374</v>
      </c>
      <c r="BI3" s="512"/>
      <c r="BJ3" s="512" t="s">
        <v>375</v>
      </c>
      <c r="BK3" s="512"/>
      <c r="BL3" s="512"/>
      <c r="BM3" s="512" t="s">
        <v>376</v>
      </c>
      <c r="BN3" s="512"/>
      <c r="BO3" s="512"/>
      <c r="BP3" s="512" t="s">
        <v>377</v>
      </c>
      <c r="BQ3" s="512"/>
      <c r="BR3" s="512"/>
      <c r="BS3" s="512"/>
      <c r="BT3" s="512"/>
      <c r="BU3" s="513"/>
    </row>
    <row r="4" spans="1:73" ht="15.75">
      <c r="A4" s="318" t="s">
        <v>269</v>
      </c>
      <c r="B4" s="349"/>
      <c r="C4" s="349"/>
      <c r="D4" s="349"/>
      <c r="E4" s="349"/>
      <c r="F4" s="55"/>
      <c r="G4" s="347">
        <f>SUMIFS(INDEX(kasztok,,40+ROW()),INDEX(kasztok,,1),választott_kaszt_1)+$F4</f>
        <v>0</v>
      </c>
      <c r="H4" s="348"/>
      <c r="I4" s="318" t="s">
        <v>9</v>
      </c>
      <c r="J4" s="349"/>
      <c r="K4" s="349"/>
      <c r="L4" s="349"/>
      <c r="M4" s="349"/>
      <c r="N4" s="349"/>
      <c r="O4" s="349"/>
      <c r="P4" s="381"/>
      <c r="Q4" s="382"/>
      <c r="R4" s="382"/>
      <c r="S4" s="382"/>
      <c r="T4" s="382"/>
      <c r="U4" s="383"/>
      <c r="V4" s="370" t="s">
        <v>11</v>
      </c>
      <c r="W4" s="370"/>
      <c r="X4" s="370"/>
      <c r="Y4" s="376"/>
      <c r="Z4" s="377"/>
      <c r="AA4" s="582" t="str">
        <f t="shared" si="1"/>
        <v/>
      </c>
      <c r="AB4" s="583"/>
      <c r="AC4" s="583"/>
      <c r="AD4" s="583"/>
      <c r="AE4" s="583"/>
      <c r="AF4" s="583"/>
      <c r="AG4" s="583"/>
      <c r="AH4" s="583"/>
      <c r="AI4" s="583"/>
      <c r="AJ4" s="584"/>
      <c r="AK4" s="522"/>
      <c r="AL4" s="523"/>
      <c r="AM4" s="523"/>
      <c r="AN4" s="523"/>
      <c r="AO4" s="523"/>
      <c r="AP4" s="523"/>
      <c r="AQ4" s="523"/>
      <c r="AR4" s="523"/>
      <c r="AS4" s="523"/>
      <c r="AT4" s="523"/>
      <c r="AU4" s="524"/>
      <c r="AV4" s="500"/>
      <c r="AW4" s="501"/>
      <c r="AX4" s="501"/>
      <c r="AY4" s="501"/>
      <c r="AZ4" s="501"/>
      <c r="BA4" s="501"/>
      <c r="BB4" s="501"/>
      <c r="BC4" s="501"/>
      <c r="BD4" s="501"/>
      <c r="BE4" s="501"/>
      <c r="BF4" s="501"/>
      <c r="BG4" s="501"/>
      <c r="BH4" s="502"/>
      <c r="BI4" s="502"/>
      <c r="BJ4" s="503"/>
      <c r="BK4" s="503"/>
      <c r="BL4" s="503"/>
      <c r="BM4" s="497">
        <f>BH4*BJ4</f>
        <v>0</v>
      </c>
      <c r="BN4" s="497"/>
      <c r="BO4" s="497"/>
      <c r="BP4" s="498"/>
      <c r="BQ4" s="498"/>
      <c r="BR4" s="498"/>
      <c r="BS4" s="498"/>
      <c r="BT4" s="498"/>
      <c r="BU4" s="499"/>
    </row>
    <row r="5" spans="1:73" ht="15.75">
      <c r="A5" s="318" t="s">
        <v>268</v>
      </c>
      <c r="B5" s="349"/>
      <c r="C5" s="349"/>
      <c r="D5" s="349"/>
      <c r="E5" s="349"/>
      <c r="F5" s="55"/>
      <c r="G5" s="347">
        <f t="shared" si="0"/>
        <v>0</v>
      </c>
      <c r="H5" s="348"/>
      <c r="I5" s="350" t="s">
        <v>12</v>
      </c>
      <c r="J5" s="351"/>
      <c r="K5" s="351"/>
      <c r="L5" s="351"/>
      <c r="M5" s="351"/>
      <c r="N5" s="351"/>
      <c r="O5" s="352"/>
      <c r="P5" s="402"/>
      <c r="Q5" s="402"/>
      <c r="R5" s="402"/>
      <c r="S5" s="402"/>
      <c r="T5" s="402"/>
      <c r="U5" s="370" t="s">
        <v>10</v>
      </c>
      <c r="V5" s="370"/>
      <c r="W5" s="370"/>
      <c r="X5" s="400"/>
      <c r="Y5" s="400"/>
      <c r="Z5" s="401"/>
      <c r="AA5" s="582" t="str">
        <f t="shared" si="1"/>
        <v/>
      </c>
      <c r="AB5" s="583"/>
      <c r="AC5" s="583"/>
      <c r="AD5" s="583"/>
      <c r="AE5" s="583"/>
      <c r="AF5" s="583"/>
      <c r="AG5" s="583"/>
      <c r="AH5" s="583"/>
      <c r="AI5" s="583"/>
      <c r="AJ5" s="584"/>
      <c r="AK5" s="522"/>
      <c r="AL5" s="523"/>
      <c r="AM5" s="523"/>
      <c r="AN5" s="523"/>
      <c r="AO5" s="523"/>
      <c r="AP5" s="523"/>
      <c r="AQ5" s="523"/>
      <c r="AR5" s="523"/>
      <c r="AS5" s="523"/>
      <c r="AT5" s="523"/>
      <c r="AU5" s="524"/>
      <c r="AV5" s="500"/>
      <c r="AW5" s="501"/>
      <c r="AX5" s="501"/>
      <c r="AY5" s="501"/>
      <c r="AZ5" s="501"/>
      <c r="BA5" s="501"/>
      <c r="BB5" s="501"/>
      <c r="BC5" s="501"/>
      <c r="BD5" s="501"/>
      <c r="BE5" s="501"/>
      <c r="BF5" s="501"/>
      <c r="BG5" s="501"/>
      <c r="BH5" s="502"/>
      <c r="BI5" s="502"/>
      <c r="BJ5" s="503"/>
      <c r="BK5" s="503"/>
      <c r="BL5" s="503"/>
      <c r="BM5" s="497">
        <f>BH5*BJ5</f>
        <v>0</v>
      </c>
      <c r="BN5" s="497"/>
      <c r="BO5" s="497"/>
      <c r="BP5" s="498"/>
      <c r="BQ5" s="498"/>
      <c r="BR5" s="498"/>
      <c r="BS5" s="498"/>
      <c r="BT5" s="498"/>
      <c r="BU5" s="499"/>
    </row>
    <row r="6" spans="1:73" ht="15.75">
      <c r="A6" s="318" t="s">
        <v>267</v>
      </c>
      <c r="B6" s="349"/>
      <c r="C6" s="349"/>
      <c r="D6" s="349"/>
      <c r="E6" s="349"/>
      <c r="F6" s="55"/>
      <c r="G6" s="347">
        <f t="shared" si="0"/>
        <v>0</v>
      </c>
      <c r="H6" s="348"/>
      <c r="I6" s="318" t="s">
        <v>45</v>
      </c>
      <c r="J6" s="349"/>
      <c r="K6" s="349"/>
      <c r="L6" s="349"/>
      <c r="M6" s="349"/>
      <c r="N6" s="349"/>
      <c r="O6" s="349"/>
      <c r="P6" s="397"/>
      <c r="Q6" s="398"/>
      <c r="R6" s="398"/>
      <c r="S6" s="398"/>
      <c r="T6" s="399"/>
      <c r="U6" s="370" t="s">
        <v>14</v>
      </c>
      <c r="V6" s="370"/>
      <c r="W6" s="370"/>
      <c r="X6" s="400"/>
      <c r="Y6" s="400"/>
      <c r="Z6" s="401"/>
      <c r="AA6" s="582" t="str">
        <f t="shared" si="1"/>
        <v/>
      </c>
      <c r="AB6" s="583"/>
      <c r="AC6" s="583"/>
      <c r="AD6" s="583"/>
      <c r="AE6" s="583"/>
      <c r="AF6" s="583"/>
      <c r="AG6" s="583"/>
      <c r="AH6" s="583"/>
      <c r="AI6" s="583"/>
      <c r="AJ6" s="584"/>
      <c r="AK6" s="522"/>
      <c r="AL6" s="523"/>
      <c r="AM6" s="523"/>
      <c r="AN6" s="523"/>
      <c r="AO6" s="523"/>
      <c r="AP6" s="523"/>
      <c r="AQ6" s="523"/>
      <c r="AR6" s="523"/>
      <c r="AS6" s="523"/>
      <c r="AT6" s="523"/>
      <c r="AU6" s="524"/>
      <c r="AV6" s="500"/>
      <c r="AW6" s="501"/>
      <c r="AX6" s="501"/>
      <c r="AY6" s="501"/>
      <c r="AZ6" s="501"/>
      <c r="BA6" s="501"/>
      <c r="BB6" s="501"/>
      <c r="BC6" s="501"/>
      <c r="BD6" s="501"/>
      <c r="BE6" s="501"/>
      <c r="BF6" s="501"/>
      <c r="BG6" s="501"/>
      <c r="BH6" s="502"/>
      <c r="BI6" s="502"/>
      <c r="BJ6" s="503"/>
      <c r="BK6" s="503"/>
      <c r="BL6" s="503"/>
      <c r="BM6" s="497">
        <f t="shared" ref="BM6:BM44" si="2">BH6*BJ6</f>
        <v>0</v>
      </c>
      <c r="BN6" s="497"/>
      <c r="BO6" s="497"/>
      <c r="BP6" s="498"/>
      <c r="BQ6" s="498"/>
      <c r="BR6" s="498"/>
      <c r="BS6" s="498"/>
      <c r="BT6" s="498"/>
      <c r="BU6" s="499"/>
    </row>
    <row r="7" spans="1:73" ht="15.75">
      <c r="A7" s="318" t="s">
        <v>271</v>
      </c>
      <c r="B7" s="349"/>
      <c r="C7" s="349"/>
      <c r="D7" s="349"/>
      <c r="E7" s="349"/>
      <c r="F7" s="55"/>
      <c r="G7" s="347">
        <f t="shared" si="0"/>
        <v>0</v>
      </c>
      <c r="H7" s="348"/>
      <c r="I7" s="318" t="s">
        <v>4</v>
      </c>
      <c r="J7" s="349"/>
      <c r="K7" s="349"/>
      <c r="L7" s="349"/>
      <c r="M7" s="349"/>
      <c r="N7" s="349"/>
      <c r="O7" s="349"/>
      <c r="P7" s="373"/>
      <c r="Q7" s="395"/>
      <c r="R7" s="395"/>
      <c r="S7" s="395"/>
      <c r="T7" s="396"/>
      <c r="U7" s="8" t="s">
        <v>3</v>
      </c>
      <c r="V7" s="373"/>
      <c r="W7" s="395"/>
      <c r="X7" s="395"/>
      <c r="Y7" s="395"/>
      <c r="Z7" s="403"/>
      <c r="AA7" s="582" t="str">
        <f t="shared" si="1"/>
        <v/>
      </c>
      <c r="AB7" s="583"/>
      <c r="AC7" s="583"/>
      <c r="AD7" s="583"/>
      <c r="AE7" s="583"/>
      <c r="AF7" s="583"/>
      <c r="AG7" s="583"/>
      <c r="AH7" s="583"/>
      <c r="AI7" s="583"/>
      <c r="AJ7" s="584"/>
      <c r="AK7" s="522"/>
      <c r="AL7" s="523"/>
      <c r="AM7" s="523"/>
      <c r="AN7" s="523"/>
      <c r="AO7" s="523"/>
      <c r="AP7" s="523"/>
      <c r="AQ7" s="523"/>
      <c r="AR7" s="523"/>
      <c r="AS7" s="523"/>
      <c r="AT7" s="523"/>
      <c r="AU7" s="524"/>
      <c r="AV7" s="500"/>
      <c r="AW7" s="501"/>
      <c r="AX7" s="501"/>
      <c r="AY7" s="501"/>
      <c r="AZ7" s="501"/>
      <c r="BA7" s="501"/>
      <c r="BB7" s="501"/>
      <c r="BC7" s="501"/>
      <c r="BD7" s="501"/>
      <c r="BE7" s="501"/>
      <c r="BF7" s="501"/>
      <c r="BG7" s="501"/>
      <c r="BH7" s="502"/>
      <c r="BI7" s="502"/>
      <c r="BJ7" s="503"/>
      <c r="BK7" s="503"/>
      <c r="BL7" s="503"/>
      <c r="BM7" s="497">
        <f t="shared" si="2"/>
        <v>0</v>
      </c>
      <c r="BN7" s="497"/>
      <c r="BO7" s="497"/>
      <c r="BP7" s="498"/>
      <c r="BQ7" s="498"/>
      <c r="BR7" s="498"/>
      <c r="BS7" s="498"/>
      <c r="BT7" s="498"/>
      <c r="BU7" s="499"/>
    </row>
    <row r="8" spans="1:73" ht="15.75">
      <c r="A8" s="318" t="s">
        <v>272</v>
      </c>
      <c r="B8" s="349"/>
      <c r="C8" s="349"/>
      <c r="D8" s="349"/>
      <c r="E8" s="349"/>
      <c r="F8" s="55"/>
      <c r="G8" s="347">
        <f t="shared" si="0"/>
        <v>0</v>
      </c>
      <c r="H8" s="348"/>
      <c r="I8" s="318" t="s">
        <v>5</v>
      </c>
      <c r="J8" s="349"/>
      <c r="K8" s="349"/>
      <c r="L8" s="349"/>
      <c r="M8" s="349"/>
      <c r="N8" s="349"/>
      <c r="O8" s="349"/>
      <c r="P8" s="372"/>
      <c r="Q8" s="368"/>
      <c r="R8" s="368"/>
      <c r="S8" s="368"/>
      <c r="T8" s="368"/>
      <c r="U8" s="368"/>
      <c r="V8" s="368"/>
      <c r="W8" s="368"/>
      <c r="X8" s="368"/>
      <c r="Y8" s="368"/>
      <c r="Z8" s="369"/>
      <c r="AA8" s="582" t="str">
        <f t="shared" si="1"/>
        <v/>
      </c>
      <c r="AB8" s="583"/>
      <c r="AC8" s="583"/>
      <c r="AD8" s="583"/>
      <c r="AE8" s="583"/>
      <c r="AF8" s="583"/>
      <c r="AG8" s="583"/>
      <c r="AH8" s="583"/>
      <c r="AI8" s="583"/>
      <c r="AJ8" s="584"/>
      <c r="AK8" s="536"/>
      <c r="AL8" s="523"/>
      <c r="AM8" s="523"/>
      <c r="AN8" s="523"/>
      <c r="AO8" s="523"/>
      <c r="AP8" s="523"/>
      <c r="AQ8" s="523"/>
      <c r="AR8" s="523"/>
      <c r="AS8" s="523"/>
      <c r="AT8" s="523"/>
      <c r="AU8" s="524"/>
      <c r="AV8" s="500"/>
      <c r="AW8" s="501"/>
      <c r="AX8" s="501"/>
      <c r="AY8" s="501"/>
      <c r="AZ8" s="501"/>
      <c r="BA8" s="501"/>
      <c r="BB8" s="501"/>
      <c r="BC8" s="501"/>
      <c r="BD8" s="501"/>
      <c r="BE8" s="501"/>
      <c r="BF8" s="501"/>
      <c r="BG8" s="501"/>
      <c r="BH8" s="502"/>
      <c r="BI8" s="502"/>
      <c r="BJ8" s="503"/>
      <c r="BK8" s="503"/>
      <c r="BL8" s="503"/>
      <c r="BM8" s="497">
        <f t="shared" si="2"/>
        <v>0</v>
      </c>
      <c r="BN8" s="497"/>
      <c r="BO8" s="497"/>
      <c r="BP8" s="498"/>
      <c r="BQ8" s="498"/>
      <c r="BR8" s="498"/>
      <c r="BS8" s="498"/>
      <c r="BT8" s="498"/>
      <c r="BU8" s="499"/>
    </row>
    <row r="9" spans="1:73" ht="15.75">
      <c r="A9" s="318" t="s">
        <v>273</v>
      </c>
      <c r="B9" s="349"/>
      <c r="C9" s="349"/>
      <c r="D9" s="349"/>
      <c r="E9" s="349"/>
      <c r="F9" s="55"/>
      <c r="G9" s="347">
        <f t="shared" si="0"/>
        <v>0</v>
      </c>
      <c r="H9" s="348"/>
      <c r="I9" s="318" t="s">
        <v>6</v>
      </c>
      <c r="J9" s="349"/>
      <c r="K9" s="349"/>
      <c r="L9" s="349"/>
      <c r="M9" s="349"/>
      <c r="N9" s="349"/>
      <c r="O9" s="349"/>
      <c r="P9" s="372"/>
      <c r="Q9" s="368"/>
      <c r="R9" s="368"/>
      <c r="S9" s="368"/>
      <c r="T9" s="368"/>
      <c r="U9" s="368"/>
      <c r="V9" s="368"/>
      <c r="W9" s="368"/>
      <c r="X9" s="368"/>
      <c r="Y9" s="368"/>
      <c r="Z9" s="369"/>
      <c r="AA9" s="582" t="str">
        <f t="shared" si="1"/>
        <v/>
      </c>
      <c r="AB9" s="583"/>
      <c r="AC9" s="583"/>
      <c r="AD9" s="583"/>
      <c r="AE9" s="583"/>
      <c r="AF9" s="583"/>
      <c r="AG9" s="583"/>
      <c r="AH9" s="583"/>
      <c r="AI9" s="583"/>
      <c r="AJ9" s="584"/>
      <c r="AK9" s="536"/>
      <c r="AL9" s="523"/>
      <c r="AM9" s="523"/>
      <c r="AN9" s="523"/>
      <c r="AO9" s="523"/>
      <c r="AP9" s="523"/>
      <c r="AQ9" s="523"/>
      <c r="AR9" s="523"/>
      <c r="AS9" s="523"/>
      <c r="AT9" s="523"/>
      <c r="AU9" s="524"/>
      <c r="AV9" s="500"/>
      <c r="AW9" s="501"/>
      <c r="AX9" s="501"/>
      <c r="AY9" s="501"/>
      <c r="AZ9" s="501"/>
      <c r="BA9" s="501"/>
      <c r="BB9" s="501"/>
      <c r="BC9" s="501"/>
      <c r="BD9" s="501"/>
      <c r="BE9" s="501"/>
      <c r="BF9" s="501"/>
      <c r="BG9" s="501"/>
      <c r="BH9" s="502"/>
      <c r="BI9" s="502"/>
      <c r="BJ9" s="503"/>
      <c r="BK9" s="503"/>
      <c r="BL9" s="503"/>
      <c r="BM9" s="497">
        <f t="shared" si="2"/>
        <v>0</v>
      </c>
      <c r="BN9" s="497"/>
      <c r="BO9" s="497"/>
      <c r="BP9" s="498"/>
      <c r="BQ9" s="498"/>
      <c r="BR9" s="498"/>
      <c r="BS9" s="498"/>
      <c r="BT9" s="498"/>
      <c r="BU9" s="499"/>
    </row>
    <row r="10" spans="1:73" ht="16.5" thickBot="1">
      <c r="A10" s="318" t="s">
        <v>274</v>
      </c>
      <c r="B10" s="349"/>
      <c r="C10" s="349"/>
      <c r="D10" s="349"/>
      <c r="E10" s="349"/>
      <c r="F10" s="55"/>
      <c r="G10" s="347">
        <f t="shared" si="0"/>
        <v>0</v>
      </c>
      <c r="H10" s="348"/>
      <c r="I10" s="318" t="s">
        <v>7</v>
      </c>
      <c r="J10" s="349"/>
      <c r="K10" s="349"/>
      <c r="L10" s="349"/>
      <c r="M10" s="349"/>
      <c r="N10" s="349"/>
      <c r="O10" s="349"/>
      <c r="P10" s="384"/>
      <c r="Q10" s="385"/>
      <c r="R10" s="385"/>
      <c r="S10" s="385"/>
      <c r="T10" s="385"/>
      <c r="U10" s="385"/>
      <c r="V10" s="385"/>
      <c r="W10" s="385"/>
      <c r="X10" s="385"/>
      <c r="Y10" s="385"/>
      <c r="Z10" s="386"/>
      <c r="AA10" s="585" t="str">
        <f t="shared" si="1"/>
        <v/>
      </c>
      <c r="AB10" s="586"/>
      <c r="AC10" s="586"/>
      <c r="AD10" s="586"/>
      <c r="AE10" s="586"/>
      <c r="AF10" s="586"/>
      <c r="AG10" s="586"/>
      <c r="AH10" s="586"/>
      <c r="AI10" s="586"/>
      <c r="AJ10" s="587"/>
      <c r="AK10" s="536"/>
      <c r="AL10" s="523"/>
      <c r="AM10" s="523"/>
      <c r="AN10" s="523"/>
      <c r="AO10" s="523"/>
      <c r="AP10" s="523"/>
      <c r="AQ10" s="523"/>
      <c r="AR10" s="523"/>
      <c r="AS10" s="523"/>
      <c r="AT10" s="523"/>
      <c r="AU10" s="524"/>
      <c r="AV10" s="500"/>
      <c r="AW10" s="501"/>
      <c r="AX10" s="501"/>
      <c r="AY10" s="501"/>
      <c r="AZ10" s="501"/>
      <c r="BA10" s="501"/>
      <c r="BB10" s="501"/>
      <c r="BC10" s="501"/>
      <c r="BD10" s="501"/>
      <c r="BE10" s="501"/>
      <c r="BF10" s="501"/>
      <c r="BG10" s="501"/>
      <c r="BH10" s="502"/>
      <c r="BI10" s="502"/>
      <c r="BJ10" s="503"/>
      <c r="BK10" s="503"/>
      <c r="BL10" s="503"/>
      <c r="BM10" s="497">
        <f t="shared" si="2"/>
        <v>0</v>
      </c>
      <c r="BN10" s="497"/>
      <c r="BO10" s="497"/>
      <c r="BP10" s="498"/>
      <c r="BQ10" s="498"/>
      <c r="BR10" s="498"/>
      <c r="BS10" s="498"/>
      <c r="BT10" s="498"/>
      <c r="BU10" s="499"/>
    </row>
    <row r="11" spans="1:73" ht="16.5" thickBot="1">
      <c r="A11" s="318" t="s">
        <v>275</v>
      </c>
      <c r="B11" s="349"/>
      <c r="C11" s="349"/>
      <c r="D11" s="349"/>
      <c r="E11" s="349"/>
      <c r="F11" s="55"/>
      <c r="G11" s="347">
        <f t="shared" si="0"/>
        <v>0</v>
      </c>
      <c r="H11" s="348"/>
      <c r="I11" s="387" t="s">
        <v>67</v>
      </c>
      <c r="J11" s="388"/>
      <c r="K11" s="389"/>
      <c r="L11" s="390"/>
      <c r="M11" s="391"/>
      <c r="N11" s="392" t="s">
        <v>68</v>
      </c>
      <c r="O11" s="393"/>
      <c r="P11" s="393"/>
      <c r="Q11" s="388"/>
      <c r="R11" s="394"/>
      <c r="S11" s="394"/>
      <c r="T11" s="394"/>
      <c r="U11" s="392" t="s">
        <v>69</v>
      </c>
      <c r="V11" s="388"/>
      <c r="W11" s="379"/>
      <c r="X11" s="379"/>
      <c r="Y11" s="379"/>
      <c r="Z11" s="380"/>
      <c r="AA11" s="604">
        <f>IF(választott_kaszt_1="",0,MAX(SUMIFS(INDEX(kasztok,,25),INDEX(kasztok,,1),választott_kaszt_1),SUMIFS(INDEX(kasztok,,25),INDEX(kasztok,,1),választott_kaszt_2))+MAX(0,egészség-10))</f>
        <v>0</v>
      </c>
      <c r="AB11" s="605"/>
      <c r="AC11" s="605"/>
      <c r="AD11" s="606" t="s">
        <v>790</v>
      </c>
      <c r="AE11" s="607"/>
      <c r="AF11" s="608" t="s">
        <v>66</v>
      </c>
      <c r="AG11" s="609"/>
      <c r="AH11" s="588">
        <f>IF(választott_kaszt_1&lt;&gt;"",MAX(0,állóképesség-10)+MAX(0,akaraterő-10)+MAX(SUMIFS(INDEX(kasztok,,26),INDEX(kasztok,,1),választott_kaszt_1)+SUMIFS(INDEX(kasztok,,27),INDEX(kasztok,,1),választott_kaszt_1),SUMIFS(INDEX(kasztok,,26),INDEX(kasztok,,1),választott_kaszt_2)+SUMIFS(INDEX(kasztok,,27),INDEX(kasztok,,1),választott_kaszt_2)),0)+SUM(INDEX(csillagjegyek,,COLUMN(Csillagjegyek!$E$1)))</f>
        <v>0</v>
      </c>
      <c r="AI11" s="589"/>
      <c r="AJ11" s="590"/>
      <c r="AK11" s="536"/>
      <c r="AL11" s="523"/>
      <c r="AM11" s="523"/>
      <c r="AN11" s="523"/>
      <c r="AO11" s="523"/>
      <c r="AP11" s="523"/>
      <c r="AQ11" s="523"/>
      <c r="AR11" s="523"/>
      <c r="AS11" s="523"/>
      <c r="AT11" s="523"/>
      <c r="AU11" s="524"/>
      <c r="AV11" s="500"/>
      <c r="AW11" s="501"/>
      <c r="AX11" s="501"/>
      <c r="AY11" s="501"/>
      <c r="AZ11" s="501"/>
      <c r="BA11" s="501"/>
      <c r="BB11" s="501"/>
      <c r="BC11" s="501"/>
      <c r="BD11" s="501"/>
      <c r="BE11" s="501"/>
      <c r="BF11" s="501"/>
      <c r="BG11" s="501"/>
      <c r="BH11" s="502"/>
      <c r="BI11" s="502"/>
      <c r="BJ11" s="503"/>
      <c r="BK11" s="503"/>
      <c r="BL11" s="503"/>
      <c r="BM11" s="497">
        <f t="shared" si="2"/>
        <v>0</v>
      </c>
      <c r="BN11" s="497"/>
      <c r="BO11" s="497"/>
      <c r="BP11" s="498"/>
      <c r="BQ11" s="498"/>
      <c r="BR11" s="498"/>
      <c r="BS11" s="498"/>
      <c r="BT11" s="498"/>
      <c r="BU11" s="499"/>
    </row>
    <row r="12" spans="1:73" ht="16.5" customHeight="1" thickBot="1">
      <c r="A12" s="318" t="s">
        <v>276</v>
      </c>
      <c r="B12" s="349"/>
      <c r="C12" s="349"/>
      <c r="D12" s="349"/>
      <c r="E12" s="349"/>
      <c r="F12" s="55"/>
      <c r="G12" s="347">
        <f t="shared" si="0"/>
        <v>0</v>
      </c>
      <c r="H12" s="348"/>
      <c r="I12" s="337" t="s">
        <v>70</v>
      </c>
      <c r="J12" s="338"/>
      <c r="K12" s="339"/>
      <c r="L12" s="378"/>
      <c r="M12" s="378"/>
      <c r="N12" s="378"/>
      <c r="O12" s="345" t="s">
        <v>71</v>
      </c>
      <c r="P12" s="338"/>
      <c r="Q12" s="339"/>
      <c r="R12" s="422"/>
      <c r="S12" s="423"/>
      <c r="T12" s="424"/>
      <c r="U12" s="345" t="s">
        <v>346</v>
      </c>
      <c r="V12" s="339"/>
      <c r="W12" s="422"/>
      <c r="X12" s="423"/>
      <c r="Y12" s="423"/>
      <c r="Z12" s="425"/>
      <c r="AA12" s="308">
        <f>MAX(SUMIFS(INDEX(kasztok,,28),INDEX(kasztok,,1),választott_kaszt_1),SUMIFS(INDEX(kasztok,,28),INDEX(kasztok,,1),választott_kaszt_2))</f>
        <v>0</v>
      </c>
      <c r="AB12" s="309"/>
      <c r="AC12" s="309"/>
      <c r="AD12" s="591" t="s">
        <v>774</v>
      </c>
      <c r="AE12" s="302"/>
      <c r="AF12" s="302"/>
      <c r="AG12" s="302"/>
      <c r="AH12" s="305">
        <f>MIN(SUMIFS(INDEX(kasztok,,28),INDEX(kasztok,,1),választott_kaszt_1),SUMIFS(INDEX(kasztok,,28),INDEX(kasztok,,1),választott_kaszt_2))</f>
        <v>0</v>
      </c>
      <c r="AI12" s="306"/>
      <c r="AJ12" s="307"/>
      <c r="AK12" s="536"/>
      <c r="AL12" s="523"/>
      <c r="AM12" s="523"/>
      <c r="AN12" s="523"/>
      <c r="AO12" s="523"/>
      <c r="AP12" s="523"/>
      <c r="AQ12" s="523"/>
      <c r="AR12" s="523"/>
      <c r="AS12" s="523"/>
      <c r="AT12" s="523"/>
      <c r="AU12" s="524"/>
      <c r="AV12" s="500"/>
      <c r="AW12" s="501"/>
      <c r="AX12" s="501"/>
      <c r="AY12" s="501"/>
      <c r="AZ12" s="501"/>
      <c r="BA12" s="501"/>
      <c r="BB12" s="501"/>
      <c r="BC12" s="501"/>
      <c r="BD12" s="501"/>
      <c r="BE12" s="501"/>
      <c r="BF12" s="501"/>
      <c r="BG12" s="501"/>
      <c r="BH12" s="502"/>
      <c r="BI12" s="502"/>
      <c r="BJ12" s="503"/>
      <c r="BK12" s="503"/>
      <c r="BL12" s="503"/>
      <c r="BM12" s="497">
        <f t="shared" si="2"/>
        <v>0</v>
      </c>
      <c r="BN12" s="497"/>
      <c r="BO12" s="497"/>
      <c r="BP12" s="498"/>
      <c r="BQ12" s="498"/>
      <c r="BR12" s="498"/>
      <c r="BS12" s="498"/>
      <c r="BT12" s="498"/>
      <c r="BU12" s="499"/>
    </row>
    <row r="13" spans="1:73" ht="16.5" thickBot="1">
      <c r="A13" s="364" t="s">
        <v>1</v>
      </c>
      <c r="B13" s="365"/>
      <c r="C13" s="365"/>
      <c r="D13" s="365"/>
      <c r="E13" s="365"/>
      <c r="F13" s="365"/>
      <c r="G13" s="366">
        <f>AVERAGE(tulajdonságok)</f>
        <v>0</v>
      </c>
      <c r="H13" s="367"/>
      <c r="I13" s="330" t="s">
        <v>60</v>
      </c>
      <c r="J13" s="331"/>
      <c r="K13" s="332"/>
      <c r="L13" s="409"/>
      <c r="M13" s="410"/>
      <c r="N13" s="410"/>
      <c r="O13" s="410"/>
      <c r="P13" s="410"/>
      <c r="Q13" s="410"/>
      <c r="R13" s="410"/>
      <c r="S13" s="410"/>
      <c r="T13" s="411"/>
      <c r="U13" s="412" t="s">
        <v>62</v>
      </c>
      <c r="V13" s="332"/>
      <c r="W13" s="99">
        <f>SUMIFS(INDEX(vértek,,2),INDEX(vértek,,1),választottpáncél)</f>
        <v>0</v>
      </c>
      <c r="X13" s="412" t="s">
        <v>63</v>
      </c>
      <c r="Y13" s="332"/>
      <c r="Z13" s="100">
        <f>SUMIFS(INDEX(vértek,,3),INDEX(vértek,,1),választottpáncél)</f>
        <v>0</v>
      </c>
      <c r="AA13" s="592" t="str">
        <f>IF(MAX(SUMIFS(INDEX(kasztok,,28),INDEX(kasztok,,1),választott_kaszt_1),SUMIFS(INDEX(kasztok,,28),INDEX(kasztok,,1),választott_kaszt_2))=0,"nincs",IF(SUMIFS(INDEX(kasztok,,28),INDEX(kasztok,,1),választott_kaszt_1)=MaxMp,választott_kaszt_1,választott_kaszt_2))</f>
        <v>nincs</v>
      </c>
      <c r="AB13" s="593"/>
      <c r="AC13" s="593"/>
      <c r="AD13" s="593"/>
      <c r="AE13" s="593"/>
      <c r="AF13" s="593"/>
      <c r="AG13" s="593"/>
      <c r="AH13" s="593"/>
      <c r="AI13" s="593"/>
      <c r="AJ13" s="594"/>
      <c r="AK13" s="536"/>
      <c r="AL13" s="523"/>
      <c r="AM13" s="523"/>
      <c r="AN13" s="523"/>
      <c r="AO13" s="523"/>
      <c r="AP13" s="523"/>
      <c r="AQ13" s="523"/>
      <c r="AR13" s="523"/>
      <c r="AS13" s="523"/>
      <c r="AT13" s="523"/>
      <c r="AU13" s="524"/>
      <c r="AV13" s="500"/>
      <c r="AW13" s="501"/>
      <c r="AX13" s="501"/>
      <c r="AY13" s="501"/>
      <c r="AZ13" s="501"/>
      <c r="BA13" s="501"/>
      <c r="BB13" s="501"/>
      <c r="BC13" s="501"/>
      <c r="BD13" s="501"/>
      <c r="BE13" s="501"/>
      <c r="BF13" s="501"/>
      <c r="BG13" s="501"/>
      <c r="BH13" s="502"/>
      <c r="BI13" s="502"/>
      <c r="BJ13" s="503"/>
      <c r="BK13" s="503"/>
      <c r="BL13" s="503"/>
      <c r="BM13" s="497">
        <f t="shared" si="2"/>
        <v>0</v>
      </c>
      <c r="BN13" s="497"/>
      <c r="BO13" s="497"/>
      <c r="BP13" s="498"/>
      <c r="BQ13" s="498"/>
      <c r="BR13" s="498"/>
      <c r="BS13" s="498"/>
      <c r="BT13" s="498"/>
      <c r="BU13" s="499"/>
    </row>
    <row r="14" spans="1:73" ht="16.5" thickBot="1">
      <c r="A14" s="301" t="s">
        <v>77</v>
      </c>
      <c r="B14" s="302"/>
      <c r="C14" s="302"/>
      <c r="D14" s="302"/>
      <c r="E14" s="302"/>
      <c r="F14" s="302"/>
      <c r="G14" s="302"/>
      <c r="H14" s="303"/>
      <c r="I14" s="337" t="s">
        <v>64</v>
      </c>
      <c r="J14" s="338"/>
      <c r="K14" s="338"/>
      <c r="L14" s="338"/>
      <c r="M14" s="338"/>
      <c r="N14" s="338"/>
      <c r="O14" s="338"/>
      <c r="P14" s="338"/>
      <c r="Q14" s="338"/>
      <c r="R14" s="339"/>
      <c r="S14" s="335"/>
      <c r="T14" s="336"/>
      <c r="U14" s="345" t="s">
        <v>61</v>
      </c>
      <c r="V14" s="338"/>
      <c r="W14" s="339"/>
      <c r="X14" s="404"/>
      <c r="Y14" s="405"/>
      <c r="Z14" s="406"/>
      <c r="AA14" s="330" t="s">
        <v>792</v>
      </c>
      <c r="AB14" s="331"/>
      <c r="AC14" s="331"/>
      <c r="AD14" s="332"/>
      <c r="AE14" s="595" t="str">
        <f>IF(MaxPszi=INDEX(pszi_választás,1,9),INDEX(pszi_választás,1,3)&amp;INDEX(pszi_választás,1,10),INDEX(pszi_választás,2,3)&amp;INDEX(pszi_választás,2,10))</f>
        <v/>
      </c>
      <c r="AF14" s="596"/>
      <c r="AG14" s="596"/>
      <c r="AH14" s="596"/>
      <c r="AI14" s="596"/>
      <c r="AJ14" s="597"/>
      <c r="AK14" s="536"/>
      <c r="AL14" s="523"/>
      <c r="AM14" s="523"/>
      <c r="AN14" s="523"/>
      <c r="AO14" s="523"/>
      <c r="AP14" s="523"/>
      <c r="AQ14" s="523"/>
      <c r="AR14" s="523"/>
      <c r="AS14" s="523"/>
      <c r="AT14" s="523"/>
      <c r="AU14" s="524"/>
      <c r="AV14" s="500"/>
      <c r="AW14" s="501"/>
      <c r="AX14" s="501"/>
      <c r="AY14" s="501"/>
      <c r="AZ14" s="501"/>
      <c r="BA14" s="501"/>
      <c r="BB14" s="501"/>
      <c r="BC14" s="501"/>
      <c r="BD14" s="501"/>
      <c r="BE14" s="501"/>
      <c r="BF14" s="501"/>
      <c r="BG14" s="501"/>
      <c r="BH14" s="502"/>
      <c r="BI14" s="502"/>
      <c r="BJ14" s="503"/>
      <c r="BK14" s="503"/>
      <c r="BL14" s="503"/>
      <c r="BM14" s="497">
        <f t="shared" ref="BM14" si="3">BH14*BJ14</f>
        <v>0</v>
      </c>
      <c r="BN14" s="497"/>
      <c r="BO14" s="497"/>
      <c r="BP14" s="498"/>
      <c r="BQ14" s="498"/>
      <c r="BR14" s="498"/>
      <c r="BS14" s="498"/>
      <c r="BT14" s="498"/>
      <c r="BU14" s="499"/>
    </row>
    <row r="15" spans="1:73" ht="15.75" customHeight="1" thickBot="1">
      <c r="A15" s="304"/>
      <c r="B15" s="304"/>
      <c r="C15" s="304"/>
      <c r="D15" s="304"/>
      <c r="E15" s="304"/>
      <c r="F15" s="304"/>
      <c r="G15" s="304"/>
      <c r="H15" s="304"/>
      <c r="I15" s="436" t="s">
        <v>798</v>
      </c>
      <c r="J15" s="437"/>
      <c r="K15" s="437"/>
      <c r="L15" s="437"/>
      <c r="M15" s="437"/>
      <c r="N15" s="437"/>
      <c r="O15" s="140"/>
      <c r="P15" s="438"/>
      <c r="Q15" s="439"/>
      <c r="R15" s="436" t="s">
        <v>799</v>
      </c>
      <c r="S15" s="437"/>
      <c r="T15" s="437"/>
      <c r="U15" s="437"/>
      <c r="V15" s="437"/>
      <c r="W15" s="437"/>
      <c r="X15" s="147"/>
      <c r="Y15" s="440"/>
      <c r="Z15" s="441"/>
      <c r="AA15" s="598">
        <f>IF(tanultAfTSZ=0,0,10)+IF(tanultMfTSZ=0,0,INT(45/IF(tanultMfkaszt=0,1,IF(INDEX(választott_kaszt_1,tanultMfkaszt,1)="",1,MAX(1,VALUE(RIGHT(VLOOKUP(INDEX(választott_kaszt_1,tanultMfkaszt,1),kasztok,30,FALSE),2)))))+0.5))</f>
        <v>0</v>
      </c>
      <c r="AB15" s="599"/>
      <c r="AC15" s="600"/>
      <c r="AD15" s="601" t="s">
        <v>791</v>
      </c>
      <c r="AE15" s="601"/>
      <c r="AF15" s="602" t="s">
        <v>793</v>
      </c>
      <c r="AG15" s="603"/>
      <c r="AH15" s="216">
        <f>IF(MaxPszi=0,0,IF(MaxPszi=INDEX(pszi_választás,1,9),1,2))</f>
        <v>0</v>
      </c>
      <c r="AI15" s="333">
        <f>MAX(INDEX(pszi_választás,,9))</f>
        <v>0</v>
      </c>
      <c r="AJ15" s="334"/>
      <c r="AK15" s="536"/>
      <c r="AL15" s="523"/>
      <c r="AM15" s="523"/>
      <c r="AN15" s="523"/>
      <c r="AO15" s="523"/>
      <c r="AP15" s="523"/>
      <c r="AQ15" s="523"/>
      <c r="AR15" s="523"/>
      <c r="AS15" s="523"/>
      <c r="AT15" s="523"/>
      <c r="AU15" s="524"/>
      <c r="AV15" s="500"/>
      <c r="AW15" s="501"/>
      <c r="AX15" s="501"/>
      <c r="AY15" s="501"/>
      <c r="AZ15" s="501"/>
      <c r="BA15" s="501"/>
      <c r="BB15" s="501"/>
      <c r="BC15" s="501"/>
      <c r="BD15" s="501"/>
      <c r="BE15" s="501"/>
      <c r="BF15" s="501"/>
      <c r="BG15" s="501"/>
      <c r="BH15" s="502"/>
      <c r="BI15" s="502"/>
      <c r="BJ15" s="503"/>
      <c r="BK15" s="503"/>
      <c r="BL15" s="503"/>
      <c r="BM15" s="497">
        <f t="shared" si="2"/>
        <v>0</v>
      </c>
      <c r="BN15" s="497"/>
      <c r="BO15" s="497"/>
      <c r="BP15" s="498"/>
      <c r="BQ15" s="498"/>
      <c r="BR15" s="498"/>
      <c r="BS15" s="498"/>
      <c r="BT15" s="498"/>
      <c r="BU15" s="499"/>
    </row>
    <row r="16" spans="1:73">
      <c r="A16" s="340" t="s">
        <v>786</v>
      </c>
      <c r="B16" s="341"/>
      <c r="C16" s="341"/>
      <c r="D16" s="342"/>
      <c r="E16" s="343" t="str">
        <f>TEXT(SUM(osztható_HM)-SUM(felosztottHM),"0")&amp;" ("&amp;TEXT(kötelező_KÉ,"0")&amp;";"&amp;TEXT(kötelező_TÉ,"0")&amp;";"&amp;TEXT(kötelező_VÉ,"0")&amp;";"&amp;TEXT(kötelező_CÉ,"0")&amp;")"</f>
        <v>0 (0;0;0;0)</v>
      </c>
      <c r="F16" s="344"/>
      <c r="G16" s="344"/>
      <c r="H16" s="344"/>
      <c r="I16" s="434" t="s">
        <v>797</v>
      </c>
      <c r="J16" s="434"/>
      <c r="K16" s="435"/>
      <c r="L16" s="416" t="s">
        <v>47</v>
      </c>
      <c r="M16" s="417"/>
      <c r="N16" s="418"/>
      <c r="O16" s="416" t="s">
        <v>48</v>
      </c>
      <c r="P16" s="417"/>
      <c r="Q16" s="418"/>
      <c r="R16" s="416" t="s">
        <v>764</v>
      </c>
      <c r="S16" s="417"/>
      <c r="T16" s="418"/>
      <c r="U16" s="416" t="s">
        <v>50</v>
      </c>
      <c r="V16" s="417"/>
      <c r="W16" s="418"/>
      <c r="X16" s="413" t="s">
        <v>78</v>
      </c>
      <c r="Y16" s="414"/>
      <c r="Z16" s="415"/>
      <c r="AA16" s="346" t="s">
        <v>72</v>
      </c>
      <c r="AB16" s="346"/>
      <c r="AC16" s="346"/>
      <c r="AD16" s="346"/>
      <c r="AE16" s="346"/>
      <c r="AF16" s="346" t="s">
        <v>73</v>
      </c>
      <c r="AG16" s="346"/>
      <c r="AH16" s="346"/>
      <c r="AI16" s="346"/>
      <c r="AJ16" s="346"/>
      <c r="AK16" s="536"/>
      <c r="AL16" s="523"/>
      <c r="AM16" s="523"/>
      <c r="AN16" s="523"/>
      <c r="AO16" s="523"/>
      <c r="AP16" s="523"/>
      <c r="AQ16" s="523"/>
      <c r="AR16" s="523"/>
      <c r="AS16" s="523"/>
      <c r="AT16" s="523"/>
      <c r="AU16" s="524"/>
      <c r="AV16" s="500"/>
      <c r="AW16" s="501"/>
      <c r="AX16" s="501"/>
      <c r="AY16" s="501"/>
      <c r="AZ16" s="501"/>
      <c r="BA16" s="501"/>
      <c r="BB16" s="501"/>
      <c r="BC16" s="501"/>
      <c r="BD16" s="501"/>
      <c r="BE16" s="501"/>
      <c r="BF16" s="501"/>
      <c r="BG16" s="501"/>
      <c r="BH16" s="502"/>
      <c r="BI16" s="502"/>
      <c r="BJ16" s="503"/>
      <c r="BK16" s="503"/>
      <c r="BL16" s="503"/>
      <c r="BM16" s="497">
        <f t="shared" si="2"/>
        <v>0</v>
      </c>
      <c r="BN16" s="497"/>
      <c r="BO16" s="497"/>
      <c r="BP16" s="498"/>
      <c r="BQ16" s="498"/>
      <c r="BR16" s="498"/>
      <c r="BS16" s="498"/>
      <c r="BT16" s="498"/>
      <c r="BU16" s="499"/>
    </row>
    <row r="17" spans="1:73" ht="15" customHeight="1">
      <c r="A17" s="432" t="s">
        <v>781</v>
      </c>
      <c r="B17" s="433"/>
      <c r="C17" s="433"/>
      <c r="D17" s="433"/>
      <c r="E17" s="433"/>
      <c r="F17" s="433"/>
      <c r="G17" s="448" t="s">
        <v>110</v>
      </c>
      <c r="H17" s="449"/>
      <c r="I17" s="445"/>
      <c r="J17" s="445"/>
      <c r="K17" s="445"/>
      <c r="L17" s="429">
        <f>KÉ_alap</f>
        <v>0</v>
      </c>
      <c r="M17" s="430"/>
      <c r="N17" s="431"/>
      <c r="O17" s="429">
        <f>TÉ_alap</f>
        <v>0</v>
      </c>
      <c r="P17" s="430"/>
      <c r="Q17" s="431"/>
      <c r="R17" s="429">
        <f>VÉ_alap</f>
        <v>0</v>
      </c>
      <c r="S17" s="430"/>
      <c r="T17" s="431"/>
      <c r="U17" s="429">
        <f>CÉ_alap</f>
        <v>0</v>
      </c>
      <c r="V17" s="430"/>
      <c r="W17" s="431"/>
      <c r="X17" s="419"/>
      <c r="Y17" s="420"/>
      <c r="Z17" s="421"/>
      <c r="AA17" s="313" t="s">
        <v>74</v>
      </c>
      <c r="AB17" s="314"/>
      <c r="AC17" s="407">
        <f>IF(AND($AA$19&lt;&gt;"",COUNTIF(barbár_kasztok,választott_kaszt_1)&gt;0),15+MAX(0,(kaszt_szint_1-1)*4),IF(AND($AA$19&lt;&gt;"",COUNTIF(barbár_kasztok,választott_kaszt_2)&gt;0),15+MAX(0,(kaszt_szint_2-1)*4),MAX(0,asztrál-IF(AND(MaxPszi=0,$AA$19&lt;&gt;"",OR(COUNTIF(nomád_kasztok,választott_kaszt_1)&gt;0,COUNTIF(nomád_kasztok,választott_kaszt_2)&gt;0)),-4*MAX(IF(COUNTIF(nomád_kasztok,választott_kaszt_1)&gt;0,kaszt_szint_1,0),IF(COUNTIF(nomád_kasztok,választott_kaszt_2)&gt;0,kaszt_szint_2,0)),10))))+SUM(INDEX(csillagjegyek,,COLUMN(Csillagjegyek!$H$1)))</f>
        <v>0</v>
      </c>
      <c r="AD17" s="408"/>
      <c r="AE17" s="408"/>
      <c r="AF17" s="317" t="s">
        <v>74</v>
      </c>
      <c r="AG17" s="318"/>
      <c r="AH17" s="310">
        <f>IF(AND($AA$19&lt;&gt;"",COUNTIF(barbár_kasztok,választott_kaszt_1)&gt;0),15+MAX(0,(kaszt_szint_1-1)*4),IF(AND($AA$19&lt;&gt;"",COUNTIF(barbár_kasztok,választott_kaszt_2)&gt;0),15+MAX(0,(kaszt_szint_2-1)*4),MAX(0,akaraterő-IF(AND(MaxPszi=0,$AA$19&lt;&gt;"",OR(COUNTIF(nomád_kasztok,választott_kaszt_1)&gt;0,COUNTIF(nomád_kasztok,választott_kaszt_2)&gt;0)),-4*MAX(IF(COUNTIF(nomád_kasztok,választott_kaszt_1)&gt;0,kaszt_szint_1,0),IF(COUNTIF(nomád_kasztok,választott_kaszt_2)&gt;0,kaszt_szint_2,0)),10))))+SUM(INDEX(csillagjegyek,,COLUMN(Csillagjegyek!$H$1)))</f>
        <v>0</v>
      </c>
      <c r="AI17" s="311"/>
      <c r="AJ17" s="312"/>
      <c r="AK17" s="536"/>
      <c r="AL17" s="523"/>
      <c r="AM17" s="523"/>
      <c r="AN17" s="523"/>
      <c r="AO17" s="523"/>
      <c r="AP17" s="523"/>
      <c r="AQ17" s="523"/>
      <c r="AR17" s="523"/>
      <c r="AS17" s="523"/>
      <c r="AT17" s="523"/>
      <c r="AU17" s="524"/>
      <c r="AV17" s="500"/>
      <c r="AW17" s="501"/>
      <c r="AX17" s="501"/>
      <c r="AY17" s="501"/>
      <c r="AZ17" s="501"/>
      <c r="BA17" s="501"/>
      <c r="BB17" s="501"/>
      <c r="BC17" s="501"/>
      <c r="BD17" s="501"/>
      <c r="BE17" s="501"/>
      <c r="BF17" s="501"/>
      <c r="BG17" s="501"/>
      <c r="BH17" s="502"/>
      <c r="BI17" s="502"/>
      <c r="BJ17" s="503"/>
      <c r="BK17" s="503"/>
      <c r="BL17" s="503"/>
      <c r="BM17" s="497">
        <f t="shared" si="2"/>
        <v>0</v>
      </c>
      <c r="BN17" s="497"/>
      <c r="BO17" s="497"/>
      <c r="BP17" s="498"/>
      <c r="BQ17" s="498"/>
      <c r="BR17" s="498"/>
      <c r="BS17" s="498"/>
      <c r="BT17" s="498"/>
      <c r="BU17" s="499"/>
    </row>
    <row r="18" spans="1:73" ht="15.75">
      <c r="A18" s="432" t="s">
        <v>780</v>
      </c>
      <c r="B18" s="433"/>
      <c r="C18" s="433"/>
      <c r="D18" s="433"/>
      <c r="E18" s="433"/>
      <c r="F18" s="433"/>
      <c r="G18" s="450"/>
      <c r="H18" s="451"/>
      <c r="I18" s="445" t="b">
        <v>1</v>
      </c>
      <c r="J18" s="445"/>
      <c r="K18" s="445"/>
      <c r="L18" s="426"/>
      <c r="M18" s="427"/>
      <c r="N18" s="428"/>
      <c r="O18" s="426"/>
      <c r="P18" s="427"/>
      <c r="Q18" s="428"/>
      <c r="R18" s="426"/>
      <c r="S18" s="427"/>
      <c r="T18" s="428"/>
      <c r="U18" s="426"/>
      <c r="V18" s="427"/>
      <c r="W18" s="428"/>
      <c r="X18" s="419"/>
      <c r="Y18" s="420"/>
      <c r="Z18" s="421"/>
      <c r="AA18" s="313" t="str">
        <f>IF(OR(választott_faj=amund_köz,választott_faj=amund_pap),"Dinam.:","Statikus:")</f>
        <v>Statikus:</v>
      </c>
      <c r="AB18" s="313"/>
      <c r="AC18" s="314"/>
      <c r="AD18" s="315">
        <f>IF(OR(választott_faj=amund_köz,választott_faj=amund_pap),IF(választott_faj=amund_köz,4,5)*MAX(INDEX(választott_kasztok,,10)),MaxPszi*IF(COUNTIF(INDEX(választott_kasztok,,1),pszi_mester)&gt;0,2,1))</f>
        <v>0</v>
      </c>
      <c r="AE18" s="316"/>
      <c r="AF18" s="317" t="str">
        <f>IF(OR(választott_faj=amund_köz,választott_faj=amund_pap),"Dinam.:","Statikus:")</f>
        <v>Statikus:</v>
      </c>
      <c r="AG18" s="317"/>
      <c r="AH18" s="318"/>
      <c r="AI18" s="319">
        <f>IF(OR(választott_faj=amund_köz,választott_faj=amund_pap),IF(választott_faj=amund_köz,4,5)*MAX(INDEX(választott_kasztok,,10)),MaxPszi*IF(COUNTIF(INDEX(választott_kasztok,,1),pszi_mester)&gt;0,2,1))</f>
        <v>0</v>
      </c>
      <c r="AJ18" s="320"/>
      <c r="AK18" s="537" t="s">
        <v>809</v>
      </c>
      <c r="AL18" s="538"/>
      <c r="AM18" s="538"/>
      <c r="AN18" s="538"/>
      <c r="AO18" s="538"/>
      <c r="AP18" s="538"/>
      <c r="AQ18" s="538"/>
      <c r="AR18" s="538"/>
      <c r="AS18" s="538"/>
      <c r="AT18" s="538"/>
      <c r="AU18" s="539"/>
      <c r="AV18" s="500"/>
      <c r="AW18" s="501"/>
      <c r="AX18" s="501"/>
      <c r="AY18" s="501"/>
      <c r="AZ18" s="501"/>
      <c r="BA18" s="501"/>
      <c r="BB18" s="501"/>
      <c r="BC18" s="501"/>
      <c r="BD18" s="501"/>
      <c r="BE18" s="501"/>
      <c r="BF18" s="501"/>
      <c r="BG18" s="501"/>
      <c r="BH18" s="502"/>
      <c r="BI18" s="502"/>
      <c r="BJ18" s="503"/>
      <c r="BK18" s="503"/>
      <c r="BL18" s="503"/>
      <c r="BM18" s="497">
        <f t="shared" si="2"/>
        <v>0</v>
      </c>
      <c r="BN18" s="497"/>
      <c r="BO18" s="497"/>
      <c r="BP18" s="498"/>
      <c r="BQ18" s="498"/>
      <c r="BR18" s="498"/>
      <c r="BS18" s="498"/>
      <c r="BT18" s="498"/>
      <c r="BU18" s="499"/>
    </row>
    <row r="19" spans="1:73" ht="15.75">
      <c r="A19" s="432" t="s">
        <v>79</v>
      </c>
      <c r="B19" s="433"/>
      <c r="C19" s="433"/>
      <c r="D19" s="433"/>
      <c r="E19" s="433"/>
      <c r="F19" s="433"/>
      <c r="G19" s="452"/>
      <c r="H19" s="453"/>
      <c r="I19" s="446" t="s">
        <v>365</v>
      </c>
      <c r="J19" s="446"/>
      <c r="K19" s="446"/>
      <c r="L19" s="458">
        <f>alap_KÉ+HM_KÉ+MAX(0,gyorsaság-10)+MAX(0,ügyesség-10)</f>
        <v>0</v>
      </c>
      <c r="M19" s="458"/>
      <c r="N19" s="458"/>
      <c r="O19" s="442">
        <f>alap_TÉ+HM_TÉ+MAX(0,erő-10)+MAX(0,gyorsaság-10)+MAX(0,ügyesség-10)</f>
        <v>0</v>
      </c>
      <c r="P19" s="443"/>
      <c r="Q19" s="444"/>
      <c r="R19" s="442">
        <f>alap_VÉ+HM_VÉ+MAX(0,gyorsaság-10)+MAX(0,ügyesség-10)</f>
        <v>0</v>
      </c>
      <c r="S19" s="443"/>
      <c r="T19" s="444"/>
      <c r="U19" s="443">
        <f>alap_CÉ+HM_CÉ+MAX(0,ügyesség-10)</f>
        <v>0</v>
      </c>
      <c r="V19" s="443"/>
      <c r="W19" s="444"/>
      <c r="X19" s="419"/>
      <c r="Y19" s="420"/>
      <c r="Z19" s="421"/>
      <c r="AA19" s="313" t="str">
        <f>IF(OR(választott_faj=amund_köz,választott_faj=amund_pap),"","Dinam.:")</f>
        <v>Dinam.:</v>
      </c>
      <c r="AB19" s="313"/>
      <c r="AC19" s="314"/>
      <c r="AD19" s="321"/>
      <c r="AE19" s="322"/>
      <c r="AF19" s="317" t="str">
        <f>IF(OR(választott_faj=amund_köz,választott_faj=amund_pap),"","Dinam.:")</f>
        <v>Dinam.:</v>
      </c>
      <c r="AG19" s="317"/>
      <c r="AH19" s="318"/>
      <c r="AI19" s="323"/>
      <c r="AJ19" s="324"/>
      <c r="AK19" s="540" t="str">
        <f>IF(választott_csillagjegy="","nincs",választott_csillagjegy)</f>
        <v>nincs</v>
      </c>
      <c r="AL19" s="541"/>
      <c r="AM19" s="541"/>
      <c r="AN19" s="541"/>
      <c r="AO19" s="541"/>
      <c r="AP19" s="541"/>
      <c r="AQ19" s="541"/>
      <c r="AR19" s="541"/>
      <c r="AS19" s="541"/>
      <c r="AT19" s="541"/>
      <c r="AU19" s="542"/>
      <c r="AV19" s="500"/>
      <c r="AW19" s="501"/>
      <c r="AX19" s="501"/>
      <c r="AY19" s="501"/>
      <c r="AZ19" s="501"/>
      <c r="BA19" s="501"/>
      <c r="BB19" s="501"/>
      <c r="BC19" s="501"/>
      <c r="BD19" s="501"/>
      <c r="BE19" s="501"/>
      <c r="BF19" s="501"/>
      <c r="BG19" s="501"/>
      <c r="BH19" s="502"/>
      <c r="BI19" s="502"/>
      <c r="BJ19" s="503"/>
      <c r="BK19" s="503"/>
      <c r="BL19" s="503"/>
      <c r="BM19" s="497">
        <f t="shared" si="2"/>
        <v>0</v>
      </c>
      <c r="BN19" s="497"/>
      <c r="BO19" s="497"/>
      <c r="BP19" s="498"/>
      <c r="BQ19" s="498"/>
      <c r="BR19" s="498"/>
      <c r="BS19" s="498"/>
      <c r="BT19" s="498"/>
      <c r="BU19" s="499"/>
    </row>
    <row r="20" spans="1:73" ht="15.75">
      <c r="A20" s="454"/>
      <c r="B20" s="455"/>
      <c r="C20" s="455"/>
      <c r="D20" s="455"/>
      <c r="E20" s="455"/>
      <c r="F20" s="455"/>
      <c r="G20" s="456" t="str">
        <f t="shared" ref="G20:G29" si="4">IF($A20="","",VLOOKUP($A20,fegyverek,3,FALSE))</f>
        <v/>
      </c>
      <c r="H20" s="457"/>
      <c r="I20" s="447" t="b">
        <v>0</v>
      </c>
      <c r="J20" s="447"/>
      <c r="K20" s="447"/>
      <c r="L20" s="217">
        <f t="shared" ref="L20:L29" si="5">SUMIFS(INDEX(fegyverek,,4),INDEX(fegyverek,,1),$A20)</f>
        <v>0</v>
      </c>
      <c r="M20" s="459">
        <f t="shared" ref="M20:M29" si="6">IF($A20="",0,$L20+fegyvertelenKÉ+IF($I20,SUMIFS(INDEX(fegyverek,,8),INDEX(fegyverek,,1),$A20),0))</f>
        <v>0</v>
      </c>
      <c r="N20" s="460"/>
      <c r="O20" s="217">
        <f t="shared" ref="O20:O29" si="7">IF($A20="",0,IF(VLOOKUP($A20,fegyverek,2,FALSE)=célzó,0,SUMIFS(INDEX(fegyverek,,5),INDEX(fegyverek,,1),$A20)))</f>
        <v>0</v>
      </c>
      <c r="P20" s="459">
        <f t="shared" ref="P20:P29" si="8">IF($A20="",0,IF(VLOOKUP($A20,fegyverek,2,FALSE)=célzó,0,$O20+fegyvertelenTÉ+IF($I20,SUMIFS(INDEX(fegyverek,,8),INDEX(fegyverek,,1),$A20)*2,0)))</f>
        <v>0</v>
      </c>
      <c r="Q20" s="460"/>
      <c r="R20" s="217">
        <f t="shared" ref="R20:R29" si="9">IF($A20="",0,IF(VLOOKUP($A20,fegyverek,2,FALSE)=célzó,0,SUMIFS(INDEX(fegyverek,,6),INDEX(fegyverek,,1),$A20)))</f>
        <v>0</v>
      </c>
      <c r="S20" s="459">
        <f t="shared" ref="S20:S29" si="10">IF($A20="",0,IF(VLOOKUP($A20,fegyverek,2,FALSE)=célzó,TEXT(SUMIFS(INDEX(fegyverek,,6),INDEX(fegyverek,,1),$A20),"0")&amp;" m",$R20+fegyvertelenVÉ+IF($I20,SUMIFS(INDEX(fegyverek,,8),INDEX(fegyverek,,1),$A20)*2,0)))</f>
        <v>0</v>
      </c>
      <c r="T20" s="460"/>
      <c r="U20" s="217">
        <f t="shared" ref="U20:U29" si="11">IF($A20="",0,IF(VLOOKUP($A20,fegyverek,2,FALSE)&lt;&gt;célzó,0,SUMIFS(INDEX(fegyverek,,5),INDEX(fegyverek,,1),$A20)))</f>
        <v>0</v>
      </c>
      <c r="V20" s="459">
        <f t="shared" ref="V20:V29" si="12">IF($A20="",0,IF(VLOOKUP($A20,fegyverek,2,FALSE)&lt;&gt;célzó,0,$U20+fegyvertelenCÉ+IF($I20,SUMIFS(INDEX(fegyverek,,8),INDEX(fegyverek,,1),$A20)*2,0)))</f>
        <v>0</v>
      </c>
      <c r="W20" s="460"/>
      <c r="X20" s="469" t="str">
        <f>IFERROR(VLOOKUP(A20,Fegyvertábla!A:G,7,FALSE),"")</f>
        <v/>
      </c>
      <c r="Y20" s="469"/>
      <c r="Z20" s="470"/>
      <c r="AA20" s="313" t="s">
        <v>75</v>
      </c>
      <c r="AB20" s="313"/>
      <c r="AC20" s="314"/>
      <c r="AD20" s="321"/>
      <c r="AE20" s="322"/>
      <c r="AF20" s="317" t="s">
        <v>75</v>
      </c>
      <c r="AG20" s="317"/>
      <c r="AH20" s="318"/>
      <c r="AI20" s="323"/>
      <c r="AJ20" s="324"/>
      <c r="AK20" s="180" t="str">
        <f>IF(választott_csillagjegy="","","   -")</f>
        <v/>
      </c>
      <c r="AL20" s="575" t="str">
        <f>IF(választott_csillagjegy="","",VLOOKUP(választott_csillagjegy,csillagjegyek,2,FALSE))</f>
        <v/>
      </c>
      <c r="AM20" s="575"/>
      <c r="AN20" s="575"/>
      <c r="AO20" s="575"/>
      <c r="AP20" s="575"/>
      <c r="AQ20" s="575"/>
      <c r="AR20" s="575"/>
      <c r="AS20" s="575"/>
      <c r="AT20" s="575"/>
      <c r="AU20" s="576"/>
      <c r="AV20" s="500"/>
      <c r="AW20" s="501"/>
      <c r="AX20" s="501"/>
      <c r="AY20" s="501"/>
      <c r="AZ20" s="501"/>
      <c r="BA20" s="501"/>
      <c r="BB20" s="501"/>
      <c r="BC20" s="501"/>
      <c r="BD20" s="501"/>
      <c r="BE20" s="501"/>
      <c r="BF20" s="501"/>
      <c r="BG20" s="501"/>
      <c r="BH20" s="502"/>
      <c r="BI20" s="502"/>
      <c r="BJ20" s="503"/>
      <c r="BK20" s="503"/>
      <c r="BL20" s="503"/>
      <c r="BM20" s="497">
        <f t="shared" si="2"/>
        <v>0</v>
      </c>
      <c r="BN20" s="497"/>
      <c r="BO20" s="497"/>
      <c r="BP20" s="498"/>
      <c r="BQ20" s="498"/>
      <c r="BR20" s="498"/>
      <c r="BS20" s="498"/>
      <c r="BT20" s="498"/>
      <c r="BU20" s="499"/>
    </row>
    <row r="21" spans="1:73" ht="16.5" thickBot="1">
      <c r="A21" s="454"/>
      <c r="B21" s="455"/>
      <c r="C21" s="455"/>
      <c r="D21" s="455"/>
      <c r="E21" s="455"/>
      <c r="F21" s="455"/>
      <c r="G21" s="456" t="str">
        <f t="shared" si="4"/>
        <v/>
      </c>
      <c r="H21" s="457"/>
      <c r="I21" s="447" t="b">
        <v>0</v>
      </c>
      <c r="J21" s="447"/>
      <c r="K21" s="447"/>
      <c r="L21" s="217">
        <f t="shared" si="5"/>
        <v>0</v>
      </c>
      <c r="M21" s="459">
        <f t="shared" si="6"/>
        <v>0</v>
      </c>
      <c r="N21" s="460"/>
      <c r="O21" s="217">
        <f t="shared" si="7"/>
        <v>0</v>
      </c>
      <c r="P21" s="459">
        <f t="shared" si="8"/>
        <v>0</v>
      </c>
      <c r="Q21" s="460"/>
      <c r="R21" s="217">
        <f t="shared" si="9"/>
        <v>0</v>
      </c>
      <c r="S21" s="459">
        <f t="shared" si="10"/>
        <v>0</v>
      </c>
      <c r="T21" s="460"/>
      <c r="U21" s="217">
        <f t="shared" si="11"/>
        <v>0</v>
      </c>
      <c r="V21" s="459">
        <f t="shared" si="12"/>
        <v>0</v>
      </c>
      <c r="W21" s="460"/>
      <c r="X21" s="469" t="str">
        <f>IFERROR(VLOOKUP(A21,Fegyvertábla!A:G,7,FALSE),"")</f>
        <v/>
      </c>
      <c r="Y21" s="469"/>
      <c r="Z21" s="470"/>
      <c r="AA21" s="461" t="s">
        <v>76</v>
      </c>
      <c r="AB21" s="461"/>
      <c r="AC21" s="462"/>
      <c r="AD21" s="465">
        <f>$AC$17+SUM($AD$18:$AE$20)</f>
        <v>0</v>
      </c>
      <c r="AE21" s="466"/>
      <c r="AF21" s="463" t="s">
        <v>76</v>
      </c>
      <c r="AG21" s="463"/>
      <c r="AH21" s="464"/>
      <c r="AI21" s="467">
        <f>$AH$17+SUM($AI$18:$AJ$20)</f>
        <v>0</v>
      </c>
      <c r="AJ21" s="468"/>
      <c r="AK21" s="180" t="str">
        <f>IF(választott_csillagjegy="","","   -")</f>
        <v/>
      </c>
      <c r="AL21" s="577" t="str">
        <f>IF(választott_csillagjegy="","","kötelező jellem: "&amp;VLOOKUP(választott_csillagjegy,csillagjegyek,3,FALSE))</f>
        <v/>
      </c>
      <c r="AM21" s="577"/>
      <c r="AN21" s="577"/>
      <c r="AO21" s="577"/>
      <c r="AP21" s="577"/>
      <c r="AQ21" s="577"/>
      <c r="AR21" s="577"/>
      <c r="AS21" s="577"/>
      <c r="AT21" s="577"/>
      <c r="AU21" s="578"/>
      <c r="AV21" s="500"/>
      <c r="AW21" s="501"/>
      <c r="AX21" s="501"/>
      <c r="AY21" s="501"/>
      <c r="AZ21" s="501"/>
      <c r="BA21" s="501"/>
      <c r="BB21" s="501"/>
      <c r="BC21" s="501"/>
      <c r="BD21" s="501"/>
      <c r="BE21" s="501"/>
      <c r="BF21" s="501"/>
      <c r="BG21" s="501"/>
      <c r="BH21" s="502"/>
      <c r="BI21" s="502"/>
      <c r="BJ21" s="503"/>
      <c r="BK21" s="503"/>
      <c r="BL21" s="503"/>
      <c r="BM21" s="497">
        <f t="shared" si="2"/>
        <v>0</v>
      </c>
      <c r="BN21" s="497"/>
      <c r="BO21" s="497"/>
      <c r="BP21" s="498"/>
      <c r="BQ21" s="498"/>
      <c r="BR21" s="498"/>
      <c r="BS21" s="498"/>
      <c r="BT21" s="498"/>
      <c r="BU21" s="499"/>
    </row>
    <row r="22" spans="1:73">
      <c r="A22" s="454"/>
      <c r="B22" s="455"/>
      <c r="C22" s="455"/>
      <c r="D22" s="455"/>
      <c r="E22" s="455"/>
      <c r="F22" s="455"/>
      <c r="G22" s="456" t="str">
        <f t="shared" si="4"/>
        <v/>
      </c>
      <c r="H22" s="457"/>
      <c r="I22" s="447" t="b">
        <v>0</v>
      </c>
      <c r="J22" s="447"/>
      <c r="K22" s="447"/>
      <c r="L22" s="217">
        <f t="shared" si="5"/>
        <v>0</v>
      </c>
      <c r="M22" s="459">
        <f t="shared" si="6"/>
        <v>0</v>
      </c>
      <c r="N22" s="460"/>
      <c r="O22" s="217">
        <f t="shared" si="7"/>
        <v>0</v>
      </c>
      <c r="P22" s="459">
        <f t="shared" si="8"/>
        <v>0</v>
      </c>
      <c r="Q22" s="460"/>
      <c r="R22" s="217">
        <f t="shared" si="9"/>
        <v>0</v>
      </c>
      <c r="S22" s="459">
        <f t="shared" si="10"/>
        <v>0</v>
      </c>
      <c r="T22" s="460"/>
      <c r="U22" s="217">
        <f t="shared" si="11"/>
        <v>0</v>
      </c>
      <c r="V22" s="459">
        <f t="shared" si="12"/>
        <v>0</v>
      </c>
      <c r="W22" s="460"/>
      <c r="X22" s="469" t="str">
        <f>IFERROR(VLOOKUP(A22,Fegyvertábla!A:G,7,FALSE),"")</f>
        <v/>
      </c>
      <c r="Y22" s="469"/>
      <c r="Z22" s="470"/>
      <c r="AA22" s="325" t="s">
        <v>138</v>
      </c>
      <c r="AB22" s="326"/>
      <c r="AC22" s="326"/>
      <c r="AD22" s="326"/>
      <c r="AE22" s="326"/>
      <c r="AF22" s="326"/>
      <c r="AG22" s="326"/>
      <c r="AH22" s="327"/>
      <c r="AI22" s="328">
        <f>SUMIFS(INDEX(kasztok,,22),INDEX(kasztok,,1),választott_kaszt_1)+SUMIFS(INDEX(kasztok,,23),INDEX(kasztok,,1),választott_kaszt_1)+SUMIFS(INDEX(kasztok,,23),INDEX(kasztok,,1),választott_kaszt_2)+MAX(0,ügyesség-10)+MAX(0,intelligencia-10)+extraKp-Kpkonverzió-SUM(harciKp,tudományosKp,világiKp,nyelvKp,ősinyelvKp,PsziKp)+SUM(INDEX(csillagjegyek,,COLUMN(Csillagjegyek!$F$1)))</f>
        <v>0</v>
      </c>
      <c r="AJ22" s="329"/>
      <c r="AK22" s="536"/>
      <c r="AL22" s="523"/>
      <c r="AM22" s="523"/>
      <c r="AN22" s="523"/>
      <c r="AO22" s="523"/>
      <c r="AP22" s="523"/>
      <c r="AQ22" s="523"/>
      <c r="AR22" s="523"/>
      <c r="AS22" s="523"/>
      <c r="AT22" s="523"/>
      <c r="AU22" s="524"/>
      <c r="AV22" s="500"/>
      <c r="AW22" s="501"/>
      <c r="AX22" s="501"/>
      <c r="AY22" s="501"/>
      <c r="AZ22" s="501"/>
      <c r="BA22" s="501"/>
      <c r="BB22" s="501"/>
      <c r="BC22" s="501"/>
      <c r="BD22" s="501"/>
      <c r="BE22" s="501"/>
      <c r="BF22" s="501"/>
      <c r="BG22" s="501"/>
      <c r="BH22" s="502"/>
      <c r="BI22" s="502"/>
      <c r="BJ22" s="503"/>
      <c r="BK22" s="503"/>
      <c r="BL22" s="503"/>
      <c r="BM22" s="497">
        <f t="shared" si="2"/>
        <v>0</v>
      </c>
      <c r="BN22" s="497"/>
      <c r="BO22" s="497"/>
      <c r="BP22" s="498"/>
      <c r="BQ22" s="498"/>
      <c r="BR22" s="498"/>
      <c r="BS22" s="498"/>
      <c r="BT22" s="498"/>
      <c r="BU22" s="499"/>
    </row>
    <row r="23" spans="1:73" ht="15.75">
      <c r="A23" s="454"/>
      <c r="B23" s="455"/>
      <c r="C23" s="455"/>
      <c r="D23" s="455"/>
      <c r="E23" s="455"/>
      <c r="F23" s="455"/>
      <c r="G23" s="456" t="str">
        <f t="shared" si="4"/>
        <v/>
      </c>
      <c r="H23" s="457"/>
      <c r="I23" s="447" t="b">
        <v>0</v>
      </c>
      <c r="J23" s="447"/>
      <c r="K23" s="447"/>
      <c r="L23" s="217">
        <f t="shared" si="5"/>
        <v>0</v>
      </c>
      <c r="M23" s="459">
        <f t="shared" si="6"/>
        <v>0</v>
      </c>
      <c r="N23" s="460"/>
      <c r="O23" s="217">
        <f t="shared" si="7"/>
        <v>0</v>
      </c>
      <c r="P23" s="459">
        <f t="shared" si="8"/>
        <v>0</v>
      </c>
      <c r="Q23" s="460"/>
      <c r="R23" s="217">
        <f t="shared" si="9"/>
        <v>0</v>
      </c>
      <c r="S23" s="459">
        <f t="shared" si="10"/>
        <v>0</v>
      </c>
      <c r="T23" s="460"/>
      <c r="U23" s="217">
        <f t="shared" si="11"/>
        <v>0</v>
      </c>
      <c r="V23" s="459">
        <f t="shared" si="12"/>
        <v>0</v>
      </c>
      <c r="W23" s="460"/>
      <c r="X23" s="469" t="str">
        <f>IFERROR(VLOOKUP(A23,Fegyvertábla!A:G,7,FALSE),"")</f>
        <v/>
      </c>
      <c r="Y23" s="469"/>
      <c r="Z23" s="470"/>
      <c r="AA23" s="563" t="s">
        <v>80</v>
      </c>
      <c r="AB23" s="564"/>
      <c r="AC23" s="564"/>
      <c r="AD23" s="564"/>
      <c r="AE23" s="564"/>
      <c r="AF23" s="564"/>
      <c r="AG23" s="564"/>
      <c r="AH23" s="565"/>
      <c r="AI23" s="553">
        <v>0</v>
      </c>
      <c r="AJ23" s="554"/>
      <c r="AK23" s="537" t="s">
        <v>1198</v>
      </c>
      <c r="AL23" s="538"/>
      <c r="AM23" s="538"/>
      <c r="AN23" s="538"/>
      <c r="AO23" s="538"/>
      <c r="AP23" s="538"/>
      <c r="AQ23" s="538"/>
      <c r="AR23" s="538"/>
      <c r="AS23" s="538"/>
      <c r="AT23" s="538"/>
      <c r="AU23" s="539"/>
      <c r="AV23" s="500"/>
      <c r="AW23" s="501"/>
      <c r="AX23" s="501"/>
      <c r="AY23" s="501"/>
      <c r="AZ23" s="501"/>
      <c r="BA23" s="501"/>
      <c r="BB23" s="501"/>
      <c r="BC23" s="501"/>
      <c r="BD23" s="501"/>
      <c r="BE23" s="501"/>
      <c r="BF23" s="501"/>
      <c r="BG23" s="501"/>
      <c r="BH23" s="502"/>
      <c r="BI23" s="502"/>
      <c r="BJ23" s="503"/>
      <c r="BK23" s="503"/>
      <c r="BL23" s="503"/>
      <c r="BM23" s="497">
        <f t="shared" si="2"/>
        <v>0</v>
      </c>
      <c r="BN23" s="497"/>
      <c r="BO23" s="497"/>
      <c r="BP23" s="498"/>
      <c r="BQ23" s="498"/>
      <c r="BR23" s="498"/>
      <c r="BS23" s="498"/>
      <c r="BT23" s="498"/>
      <c r="BU23" s="499"/>
    </row>
    <row r="24" spans="1:73" ht="15.75" thickBot="1">
      <c r="A24" s="454"/>
      <c r="B24" s="455"/>
      <c r="C24" s="455"/>
      <c r="D24" s="455"/>
      <c r="E24" s="455"/>
      <c r="F24" s="455"/>
      <c r="G24" s="456" t="str">
        <f t="shared" si="4"/>
        <v/>
      </c>
      <c r="H24" s="457"/>
      <c r="I24" s="447" t="b">
        <v>0</v>
      </c>
      <c r="J24" s="447"/>
      <c r="K24" s="447"/>
      <c r="L24" s="217">
        <f t="shared" si="5"/>
        <v>0</v>
      </c>
      <c r="M24" s="459">
        <f t="shared" si="6"/>
        <v>0</v>
      </c>
      <c r="N24" s="460"/>
      <c r="O24" s="217">
        <f t="shared" si="7"/>
        <v>0</v>
      </c>
      <c r="P24" s="459">
        <f t="shared" si="8"/>
        <v>0</v>
      </c>
      <c r="Q24" s="460"/>
      <c r="R24" s="217">
        <f t="shared" si="9"/>
        <v>0</v>
      </c>
      <c r="S24" s="459">
        <f t="shared" si="10"/>
        <v>0</v>
      </c>
      <c r="T24" s="460"/>
      <c r="U24" s="217">
        <f t="shared" si="11"/>
        <v>0</v>
      </c>
      <c r="V24" s="459">
        <f t="shared" si="12"/>
        <v>0</v>
      </c>
      <c r="W24" s="460"/>
      <c r="X24" s="469" t="str">
        <f>IFERROR(VLOOKUP(A24,Fegyvertábla!A:G,7,FALSE),"")</f>
        <v/>
      </c>
      <c r="Y24" s="469"/>
      <c r="Z24" s="470"/>
      <c r="AA24" s="299" t="s">
        <v>81</v>
      </c>
      <c r="AB24" s="300"/>
      <c r="AC24" s="300"/>
      <c r="AD24" s="300"/>
      <c r="AE24" s="300"/>
      <c r="AF24" s="300"/>
      <c r="AG24" s="300"/>
      <c r="AH24" s="300"/>
      <c r="AI24" s="555">
        <f>SUMIFS(INDEX(kasztok,,24),INDEX(kasztok,,1),választott_kaszt_1)+SUMIFS(INDEX(kasztok,,24),INDEX(kasztok,,1),választott_kaszt_2)+Kpkonverzió*3-SUM(osztottszázalék)+SUM(INDEX(csillagjegyek,,COLUMN(Csillagjegyek!$G$1)))*100</f>
        <v>0</v>
      </c>
      <c r="AJ24" s="556"/>
      <c r="AK24" s="545"/>
      <c r="AL24" s="546"/>
      <c r="AM24" s="546"/>
      <c r="AN24" s="546"/>
      <c r="AO24" s="546"/>
      <c r="AP24" s="546"/>
      <c r="AQ24" s="546"/>
      <c r="AR24" s="546"/>
      <c r="AS24" s="546"/>
      <c r="AT24" s="546"/>
      <c r="AU24" s="547"/>
      <c r="AV24" s="500"/>
      <c r="AW24" s="501"/>
      <c r="AX24" s="501"/>
      <c r="AY24" s="501"/>
      <c r="AZ24" s="501"/>
      <c r="BA24" s="501"/>
      <c r="BB24" s="501"/>
      <c r="BC24" s="501"/>
      <c r="BD24" s="501"/>
      <c r="BE24" s="501"/>
      <c r="BF24" s="501"/>
      <c r="BG24" s="501"/>
      <c r="BH24" s="502"/>
      <c r="BI24" s="502"/>
      <c r="BJ24" s="503"/>
      <c r="BK24" s="503"/>
      <c r="BL24" s="503"/>
      <c r="BM24" s="497">
        <f t="shared" si="2"/>
        <v>0</v>
      </c>
      <c r="BN24" s="497"/>
      <c r="BO24" s="497"/>
      <c r="BP24" s="498"/>
      <c r="BQ24" s="498"/>
      <c r="BR24" s="498"/>
      <c r="BS24" s="498"/>
      <c r="BT24" s="498"/>
      <c r="BU24" s="499"/>
    </row>
    <row r="25" spans="1:73">
      <c r="A25" s="454"/>
      <c r="B25" s="455"/>
      <c r="C25" s="455"/>
      <c r="D25" s="455"/>
      <c r="E25" s="455"/>
      <c r="F25" s="455"/>
      <c r="G25" s="456" t="str">
        <f t="shared" si="4"/>
        <v/>
      </c>
      <c r="H25" s="457"/>
      <c r="I25" s="447" t="b">
        <v>0</v>
      </c>
      <c r="J25" s="447"/>
      <c r="K25" s="447"/>
      <c r="L25" s="217">
        <f t="shared" si="5"/>
        <v>0</v>
      </c>
      <c r="M25" s="459">
        <f t="shared" si="6"/>
        <v>0</v>
      </c>
      <c r="N25" s="460"/>
      <c r="O25" s="217">
        <f t="shared" si="7"/>
        <v>0</v>
      </c>
      <c r="P25" s="459">
        <f t="shared" si="8"/>
        <v>0</v>
      </c>
      <c r="Q25" s="460"/>
      <c r="R25" s="217">
        <f t="shared" si="9"/>
        <v>0</v>
      </c>
      <c r="S25" s="459">
        <f t="shared" si="10"/>
        <v>0</v>
      </c>
      <c r="T25" s="460"/>
      <c r="U25" s="217">
        <f t="shared" si="11"/>
        <v>0</v>
      </c>
      <c r="V25" s="459">
        <f t="shared" si="12"/>
        <v>0</v>
      </c>
      <c r="W25" s="460"/>
      <c r="X25" s="469" t="str">
        <f>IFERROR(VLOOKUP(A25,Fegyvertábla!A:G,7,FALSE),"")</f>
        <v/>
      </c>
      <c r="Y25" s="469"/>
      <c r="Z25" s="470"/>
      <c r="AA25" s="571" t="s">
        <v>83</v>
      </c>
      <c r="AB25" s="572"/>
      <c r="AC25" s="572"/>
      <c r="AD25" s="572"/>
      <c r="AE25" s="572"/>
      <c r="AF25" s="572"/>
      <c r="AG25" s="551" t="str">
        <f>TEXT(MAX(SUMIFS(INDEX(kasztok,,32),INDEX(kasztok,,1),választott_kaszt_1),SUMIFS(INDEX(kasztok,,32),INDEX(kasztok,,1),választott_kaszt_2))+MAX(0,ügyesség-10)+IF(választott_faj=khál,20,0)+$AI25,"0")&amp;"%"</f>
        <v>0%</v>
      </c>
      <c r="AH25" s="551"/>
      <c r="AI25" s="569">
        <f>8*0</f>
        <v>0</v>
      </c>
      <c r="AJ25" s="570"/>
      <c r="AK25" s="545"/>
      <c r="AL25" s="546"/>
      <c r="AM25" s="546"/>
      <c r="AN25" s="546"/>
      <c r="AO25" s="546"/>
      <c r="AP25" s="546"/>
      <c r="AQ25" s="546"/>
      <c r="AR25" s="546"/>
      <c r="AS25" s="546"/>
      <c r="AT25" s="546"/>
      <c r="AU25" s="547"/>
      <c r="AV25" s="500"/>
      <c r="AW25" s="501"/>
      <c r="AX25" s="501"/>
      <c r="AY25" s="501"/>
      <c r="AZ25" s="501"/>
      <c r="BA25" s="501"/>
      <c r="BB25" s="501"/>
      <c r="BC25" s="501"/>
      <c r="BD25" s="501"/>
      <c r="BE25" s="501"/>
      <c r="BF25" s="501"/>
      <c r="BG25" s="501"/>
      <c r="BH25" s="502"/>
      <c r="BI25" s="502"/>
      <c r="BJ25" s="503"/>
      <c r="BK25" s="503"/>
      <c r="BL25" s="503"/>
      <c r="BM25" s="497">
        <f t="shared" si="2"/>
        <v>0</v>
      </c>
      <c r="BN25" s="497"/>
      <c r="BO25" s="497"/>
      <c r="BP25" s="498"/>
      <c r="BQ25" s="498"/>
      <c r="BR25" s="498"/>
      <c r="BS25" s="498"/>
      <c r="BT25" s="498"/>
      <c r="BU25" s="499"/>
    </row>
    <row r="26" spans="1:73">
      <c r="A26" s="454"/>
      <c r="B26" s="455"/>
      <c r="C26" s="455"/>
      <c r="D26" s="455"/>
      <c r="E26" s="455"/>
      <c r="F26" s="455"/>
      <c r="G26" s="456" t="str">
        <f t="shared" si="4"/>
        <v/>
      </c>
      <c r="H26" s="457"/>
      <c r="I26" s="447" t="b">
        <v>0</v>
      </c>
      <c r="J26" s="447"/>
      <c r="K26" s="447"/>
      <c r="L26" s="217">
        <f t="shared" si="5"/>
        <v>0</v>
      </c>
      <c r="M26" s="459">
        <f t="shared" si="6"/>
        <v>0</v>
      </c>
      <c r="N26" s="460"/>
      <c r="O26" s="217">
        <f t="shared" si="7"/>
        <v>0</v>
      </c>
      <c r="P26" s="459">
        <f t="shared" si="8"/>
        <v>0</v>
      </c>
      <c r="Q26" s="460"/>
      <c r="R26" s="217">
        <f t="shared" si="9"/>
        <v>0</v>
      </c>
      <c r="S26" s="459">
        <f t="shared" si="10"/>
        <v>0</v>
      </c>
      <c r="T26" s="460"/>
      <c r="U26" s="217">
        <f t="shared" si="11"/>
        <v>0</v>
      </c>
      <c r="V26" s="459">
        <f t="shared" si="12"/>
        <v>0</v>
      </c>
      <c r="W26" s="460"/>
      <c r="X26" s="469" t="str">
        <f>IFERROR(VLOOKUP(A26,Fegyvertábla!A:G,7,FALSE),"")</f>
        <v/>
      </c>
      <c r="Y26" s="469"/>
      <c r="Z26" s="470"/>
      <c r="AA26" s="560" t="s">
        <v>84</v>
      </c>
      <c r="AB26" s="370"/>
      <c r="AC26" s="370"/>
      <c r="AD26" s="370"/>
      <c r="AE26" s="370"/>
      <c r="AF26" s="370"/>
      <c r="AG26" s="552" t="str">
        <f>TEXT(MAX(SUMIFS(INDEX(kasztok,,33),INDEX(kasztok,,1),választott_kaszt_1),SUMIFS(INDEX(kasztok,,33),INDEX(kasztok,,1),választott_kaszt_2))+MAX(0,ügyesség-10)+IF(választott_faj=khál,20,0)+$AI26,"0")&amp;"%"</f>
        <v>0%</v>
      </c>
      <c r="AH26" s="552"/>
      <c r="AI26" s="573"/>
      <c r="AJ26" s="574"/>
      <c r="AK26" s="545"/>
      <c r="AL26" s="546"/>
      <c r="AM26" s="546"/>
      <c r="AN26" s="546"/>
      <c r="AO26" s="546"/>
      <c r="AP26" s="546"/>
      <c r="AQ26" s="546"/>
      <c r="AR26" s="546"/>
      <c r="AS26" s="546"/>
      <c r="AT26" s="546"/>
      <c r="AU26" s="547"/>
      <c r="AV26" s="500"/>
      <c r="AW26" s="501"/>
      <c r="AX26" s="501"/>
      <c r="AY26" s="501"/>
      <c r="AZ26" s="501"/>
      <c r="BA26" s="501"/>
      <c r="BB26" s="501"/>
      <c r="BC26" s="501"/>
      <c r="BD26" s="501"/>
      <c r="BE26" s="501"/>
      <c r="BF26" s="501"/>
      <c r="BG26" s="501"/>
      <c r="BH26" s="502"/>
      <c r="BI26" s="502"/>
      <c r="BJ26" s="503"/>
      <c r="BK26" s="503"/>
      <c r="BL26" s="503"/>
      <c r="BM26" s="497">
        <f t="shared" si="2"/>
        <v>0</v>
      </c>
      <c r="BN26" s="497"/>
      <c r="BO26" s="497"/>
      <c r="BP26" s="498"/>
      <c r="BQ26" s="498"/>
      <c r="BR26" s="498"/>
      <c r="BS26" s="498"/>
      <c r="BT26" s="498"/>
      <c r="BU26" s="499"/>
    </row>
    <row r="27" spans="1:73">
      <c r="A27" s="454"/>
      <c r="B27" s="455"/>
      <c r="C27" s="455"/>
      <c r="D27" s="455"/>
      <c r="E27" s="455"/>
      <c r="F27" s="455"/>
      <c r="G27" s="456" t="str">
        <f t="shared" si="4"/>
        <v/>
      </c>
      <c r="H27" s="457"/>
      <c r="I27" s="447" t="b">
        <v>0</v>
      </c>
      <c r="J27" s="447"/>
      <c r="K27" s="447"/>
      <c r="L27" s="217">
        <f t="shared" si="5"/>
        <v>0</v>
      </c>
      <c r="M27" s="459">
        <f t="shared" si="6"/>
        <v>0</v>
      </c>
      <c r="N27" s="460"/>
      <c r="O27" s="217">
        <f t="shared" si="7"/>
        <v>0</v>
      </c>
      <c r="P27" s="459">
        <f t="shared" si="8"/>
        <v>0</v>
      </c>
      <c r="Q27" s="460"/>
      <c r="R27" s="217">
        <f t="shared" si="9"/>
        <v>0</v>
      </c>
      <c r="S27" s="459">
        <f t="shared" si="10"/>
        <v>0</v>
      </c>
      <c r="T27" s="460"/>
      <c r="U27" s="217">
        <f t="shared" si="11"/>
        <v>0</v>
      </c>
      <c r="V27" s="459">
        <f t="shared" si="12"/>
        <v>0</v>
      </c>
      <c r="W27" s="460"/>
      <c r="X27" s="469" t="str">
        <f>IFERROR(VLOOKUP(A27,Fegyvertábla!A:G,7,FALSE),"")</f>
        <v/>
      </c>
      <c r="Y27" s="469"/>
      <c r="Z27" s="470"/>
      <c r="AA27" s="560" t="s">
        <v>85</v>
      </c>
      <c r="AB27" s="370"/>
      <c r="AC27" s="370"/>
      <c r="AD27" s="370"/>
      <c r="AE27" s="370"/>
      <c r="AF27" s="370"/>
      <c r="AG27" s="552" t="str">
        <f>TEXT(MAX(SUMIFS(INDEX(kasztok,,34),INDEX(kasztok,,1),választott_kaszt_1),SUMIFS(INDEX(kasztok,,34),INDEX(kasztok,,1),választott_kaszt_2))+MAX(0,ügyesség-10)+IF(választott_faj=khál,20,0)+$AI27,"0")&amp;"%"</f>
        <v>0%</v>
      </c>
      <c r="AH27" s="552"/>
      <c r="AI27" s="573">
        <f>18*0</f>
        <v>0</v>
      </c>
      <c r="AJ27" s="574"/>
      <c r="AK27" s="545"/>
      <c r="AL27" s="546"/>
      <c r="AM27" s="546"/>
      <c r="AN27" s="546"/>
      <c r="AO27" s="546"/>
      <c r="AP27" s="546"/>
      <c r="AQ27" s="546"/>
      <c r="AR27" s="546"/>
      <c r="AS27" s="546"/>
      <c r="AT27" s="546"/>
      <c r="AU27" s="547"/>
      <c r="AV27" s="500"/>
      <c r="AW27" s="501"/>
      <c r="AX27" s="501"/>
      <c r="AY27" s="501"/>
      <c r="AZ27" s="501"/>
      <c r="BA27" s="501"/>
      <c r="BB27" s="501"/>
      <c r="BC27" s="501"/>
      <c r="BD27" s="501"/>
      <c r="BE27" s="501"/>
      <c r="BF27" s="501"/>
      <c r="BG27" s="501"/>
      <c r="BH27" s="502"/>
      <c r="BI27" s="502"/>
      <c r="BJ27" s="503"/>
      <c r="BK27" s="503"/>
      <c r="BL27" s="503"/>
      <c r="BM27" s="497">
        <f t="shared" si="2"/>
        <v>0</v>
      </c>
      <c r="BN27" s="497"/>
      <c r="BO27" s="497"/>
      <c r="BP27" s="498"/>
      <c r="BQ27" s="498"/>
      <c r="BR27" s="498"/>
      <c r="BS27" s="498"/>
      <c r="BT27" s="498"/>
      <c r="BU27" s="499"/>
    </row>
    <row r="28" spans="1:73">
      <c r="A28" s="454"/>
      <c r="B28" s="455"/>
      <c r="C28" s="455"/>
      <c r="D28" s="455"/>
      <c r="E28" s="455"/>
      <c r="F28" s="455"/>
      <c r="G28" s="456" t="str">
        <f t="shared" si="4"/>
        <v/>
      </c>
      <c r="H28" s="457"/>
      <c r="I28" s="447" t="b">
        <v>0</v>
      </c>
      <c r="J28" s="447"/>
      <c r="K28" s="447"/>
      <c r="L28" s="217">
        <f t="shared" si="5"/>
        <v>0</v>
      </c>
      <c r="M28" s="459">
        <f t="shared" si="6"/>
        <v>0</v>
      </c>
      <c r="N28" s="460"/>
      <c r="O28" s="217">
        <f t="shared" si="7"/>
        <v>0</v>
      </c>
      <c r="P28" s="459">
        <f t="shared" si="8"/>
        <v>0</v>
      </c>
      <c r="Q28" s="460"/>
      <c r="R28" s="217">
        <f t="shared" si="9"/>
        <v>0</v>
      </c>
      <c r="S28" s="459">
        <f t="shared" si="10"/>
        <v>0</v>
      </c>
      <c r="T28" s="460"/>
      <c r="U28" s="217">
        <f t="shared" si="11"/>
        <v>0</v>
      </c>
      <c r="V28" s="459">
        <f t="shared" si="12"/>
        <v>0</v>
      </c>
      <c r="W28" s="460"/>
      <c r="X28" s="469" t="str">
        <f>IFERROR(VLOOKUP(A28,Fegyvertábla!A:G,7,FALSE),"")</f>
        <v/>
      </c>
      <c r="Y28" s="469"/>
      <c r="Z28" s="470"/>
      <c r="AA28" s="560" t="s">
        <v>86</v>
      </c>
      <c r="AB28" s="370"/>
      <c r="AC28" s="370"/>
      <c r="AD28" s="370"/>
      <c r="AE28" s="370"/>
      <c r="AF28" s="370"/>
      <c r="AG28" s="552" t="str">
        <f>TEXT(MAX(SUMIFS(INDEX(kasztok,,35),INDEX(kasztok,,1),választott_kaszt_1),SUMIFS(INDEX(kasztok,,35),INDEX(kasztok,,1),választott_kaszt_2))+MAX(0,ügyesség-10)+IF(választott_faj=khál,30,0)+$AI28,"0")&amp;"%"</f>
        <v>0%</v>
      </c>
      <c r="AH28" s="552"/>
      <c r="AI28" s="573">
        <f>58*0</f>
        <v>0</v>
      </c>
      <c r="AJ28" s="574"/>
      <c r="AK28" s="545"/>
      <c r="AL28" s="546"/>
      <c r="AM28" s="546"/>
      <c r="AN28" s="546"/>
      <c r="AO28" s="546"/>
      <c r="AP28" s="546"/>
      <c r="AQ28" s="546"/>
      <c r="AR28" s="546"/>
      <c r="AS28" s="546"/>
      <c r="AT28" s="546"/>
      <c r="AU28" s="547"/>
      <c r="AV28" s="500"/>
      <c r="AW28" s="501"/>
      <c r="AX28" s="501"/>
      <c r="AY28" s="501"/>
      <c r="AZ28" s="501"/>
      <c r="BA28" s="501"/>
      <c r="BB28" s="501"/>
      <c r="BC28" s="501"/>
      <c r="BD28" s="501"/>
      <c r="BE28" s="501"/>
      <c r="BF28" s="501"/>
      <c r="BG28" s="501"/>
      <c r="BH28" s="502"/>
      <c r="BI28" s="502"/>
      <c r="BJ28" s="503"/>
      <c r="BK28" s="503"/>
      <c r="BL28" s="503"/>
      <c r="BM28" s="497">
        <f t="shared" si="2"/>
        <v>0</v>
      </c>
      <c r="BN28" s="497"/>
      <c r="BO28" s="497"/>
      <c r="BP28" s="498"/>
      <c r="BQ28" s="498"/>
      <c r="BR28" s="498"/>
      <c r="BS28" s="498"/>
      <c r="BT28" s="498"/>
      <c r="BU28" s="499"/>
    </row>
    <row r="29" spans="1:73" ht="15.75" thickBot="1">
      <c r="A29" s="454"/>
      <c r="B29" s="455"/>
      <c r="C29" s="455"/>
      <c r="D29" s="455"/>
      <c r="E29" s="455"/>
      <c r="F29" s="455"/>
      <c r="G29" s="456" t="str">
        <f t="shared" si="4"/>
        <v/>
      </c>
      <c r="H29" s="457"/>
      <c r="I29" s="566" t="b">
        <v>0</v>
      </c>
      <c r="J29" s="566"/>
      <c r="K29" s="566"/>
      <c r="L29" s="217">
        <f t="shared" si="5"/>
        <v>0</v>
      </c>
      <c r="M29" s="561">
        <f t="shared" si="6"/>
        <v>0</v>
      </c>
      <c r="N29" s="562"/>
      <c r="O29" s="217">
        <f t="shared" si="7"/>
        <v>0</v>
      </c>
      <c r="P29" s="561">
        <f t="shared" si="8"/>
        <v>0</v>
      </c>
      <c r="Q29" s="562"/>
      <c r="R29" s="217">
        <f t="shared" si="9"/>
        <v>0</v>
      </c>
      <c r="S29" s="459">
        <f t="shared" si="10"/>
        <v>0</v>
      </c>
      <c r="T29" s="460"/>
      <c r="U29" s="217">
        <f t="shared" si="11"/>
        <v>0</v>
      </c>
      <c r="V29" s="561">
        <f t="shared" si="12"/>
        <v>0</v>
      </c>
      <c r="W29" s="562"/>
      <c r="X29" s="469" t="str">
        <f>IFERROR(VLOOKUP(A29,Fegyvertábla!A:G,7,FALSE),"")</f>
        <v/>
      </c>
      <c r="Y29" s="469"/>
      <c r="Z29" s="470"/>
      <c r="AA29" s="560" t="s">
        <v>87</v>
      </c>
      <c r="AB29" s="370"/>
      <c r="AC29" s="370"/>
      <c r="AD29" s="370"/>
      <c r="AE29" s="370"/>
      <c r="AF29" s="370"/>
      <c r="AG29" s="552" t="str">
        <f>TEXT(MAX(SUMIFS(INDEX(kasztok,,36),INDEX(kasztok,,1),választott_kaszt_1),SUMIFS(INDEX(kasztok,,36),INDEX(kasztok,,1),választott_kaszt_2))+MAX(0,ügyesség-10)+IF(választott_faj=khál,30,0)+$AI29,"0")&amp;"%"</f>
        <v>0%</v>
      </c>
      <c r="AH29" s="552"/>
      <c r="AI29" s="573">
        <f>58*0</f>
        <v>0</v>
      </c>
      <c r="AJ29" s="574"/>
      <c r="AK29" s="545"/>
      <c r="AL29" s="546"/>
      <c r="AM29" s="546"/>
      <c r="AN29" s="546"/>
      <c r="AO29" s="546"/>
      <c r="AP29" s="546"/>
      <c r="AQ29" s="546"/>
      <c r="AR29" s="546"/>
      <c r="AS29" s="546"/>
      <c r="AT29" s="546"/>
      <c r="AU29" s="547"/>
      <c r="AV29" s="500"/>
      <c r="AW29" s="501"/>
      <c r="AX29" s="501"/>
      <c r="AY29" s="501"/>
      <c r="AZ29" s="501"/>
      <c r="BA29" s="501"/>
      <c r="BB29" s="501"/>
      <c r="BC29" s="501"/>
      <c r="BD29" s="501"/>
      <c r="BE29" s="501"/>
      <c r="BF29" s="501"/>
      <c r="BG29" s="501"/>
      <c r="BH29" s="502"/>
      <c r="BI29" s="502"/>
      <c r="BJ29" s="503"/>
      <c r="BK29" s="503"/>
      <c r="BL29" s="503"/>
      <c r="BM29" s="497">
        <f t="shared" si="2"/>
        <v>0</v>
      </c>
      <c r="BN29" s="497"/>
      <c r="BO29" s="497"/>
      <c r="BP29" s="498"/>
      <c r="BQ29" s="498"/>
      <c r="BR29" s="498"/>
      <c r="BS29" s="498"/>
      <c r="BT29" s="498"/>
      <c r="BU29" s="499"/>
    </row>
    <row r="30" spans="1:73">
      <c r="A30" s="489" t="s">
        <v>95</v>
      </c>
      <c r="B30" s="490"/>
      <c r="C30" s="490"/>
      <c r="D30" s="490"/>
      <c r="E30" s="490"/>
      <c r="F30" s="490"/>
      <c r="G30" s="101" t="s">
        <v>93</v>
      </c>
      <c r="H30" s="491" t="s">
        <v>94</v>
      </c>
      <c r="I30" s="492"/>
      <c r="J30" s="493" t="s">
        <v>96</v>
      </c>
      <c r="K30" s="491"/>
      <c r="L30" s="491"/>
      <c r="M30" s="491"/>
      <c r="N30" s="491"/>
      <c r="O30" s="491"/>
      <c r="P30" s="101" t="s">
        <v>93</v>
      </c>
      <c r="Q30" s="102" t="s">
        <v>94</v>
      </c>
      <c r="R30" s="493" t="s">
        <v>373</v>
      </c>
      <c r="S30" s="491"/>
      <c r="T30" s="491"/>
      <c r="U30" s="491"/>
      <c r="V30" s="491"/>
      <c r="W30" s="491"/>
      <c r="X30" s="64" t="s">
        <v>93</v>
      </c>
      <c r="Y30" s="490" t="s">
        <v>94</v>
      </c>
      <c r="Z30" s="543"/>
      <c r="AA30" s="388" t="s">
        <v>88</v>
      </c>
      <c r="AB30" s="370"/>
      <c r="AC30" s="370"/>
      <c r="AD30" s="370"/>
      <c r="AE30" s="370"/>
      <c r="AF30" s="370"/>
      <c r="AG30" s="552" t="str">
        <f>TEXT(MAX(SUMIFS(INDEX(kasztok,,37),INDEX(kasztok,,1),választott_kaszt_1),SUMIFS(INDEX(kasztok,,37),INDEX(kasztok,,1),választott_kaszt_2))+MAX(0,ügyesség-10)+$AI30,"0")&amp;"%"</f>
        <v>0%</v>
      </c>
      <c r="AH30" s="552"/>
      <c r="AI30" s="573"/>
      <c r="AJ30" s="574"/>
      <c r="AK30" s="545"/>
      <c r="AL30" s="546"/>
      <c r="AM30" s="546"/>
      <c r="AN30" s="546"/>
      <c r="AO30" s="546"/>
      <c r="AP30" s="546"/>
      <c r="AQ30" s="546"/>
      <c r="AR30" s="546"/>
      <c r="AS30" s="546"/>
      <c r="AT30" s="546"/>
      <c r="AU30" s="547"/>
      <c r="AV30" s="500"/>
      <c r="AW30" s="501"/>
      <c r="AX30" s="501"/>
      <c r="AY30" s="501"/>
      <c r="AZ30" s="501"/>
      <c r="BA30" s="501"/>
      <c r="BB30" s="501"/>
      <c r="BC30" s="501"/>
      <c r="BD30" s="501"/>
      <c r="BE30" s="501"/>
      <c r="BF30" s="501"/>
      <c r="BG30" s="501"/>
      <c r="BH30" s="502"/>
      <c r="BI30" s="502"/>
      <c r="BJ30" s="503"/>
      <c r="BK30" s="503"/>
      <c r="BL30" s="503"/>
      <c r="BM30" s="497">
        <f t="shared" si="2"/>
        <v>0</v>
      </c>
      <c r="BN30" s="497"/>
      <c r="BO30" s="497"/>
      <c r="BP30" s="498"/>
      <c r="BQ30" s="498"/>
      <c r="BR30" s="498"/>
      <c r="BS30" s="498"/>
      <c r="BT30" s="498"/>
      <c r="BU30" s="499"/>
    </row>
    <row r="31" spans="1:73">
      <c r="A31" s="471"/>
      <c r="B31" s="472"/>
      <c r="C31" s="472"/>
      <c r="D31" s="472"/>
      <c r="E31" s="472"/>
      <c r="F31" s="472"/>
      <c r="G31" s="65"/>
      <c r="H31" s="473"/>
      <c r="I31" s="474"/>
      <c r="J31" s="471"/>
      <c r="K31" s="472"/>
      <c r="L31" s="472"/>
      <c r="M31" s="472"/>
      <c r="N31" s="472"/>
      <c r="O31" s="472"/>
      <c r="P31" s="65"/>
      <c r="Q31" s="181"/>
      <c r="R31" s="471"/>
      <c r="S31" s="472"/>
      <c r="T31" s="472"/>
      <c r="U31" s="472"/>
      <c r="V31" s="472"/>
      <c r="W31" s="472"/>
      <c r="X31" s="65"/>
      <c r="Y31" s="495"/>
      <c r="Z31" s="496"/>
      <c r="AA31" s="388" t="s">
        <v>89</v>
      </c>
      <c r="AB31" s="370"/>
      <c r="AC31" s="370"/>
      <c r="AD31" s="370"/>
      <c r="AE31" s="370"/>
      <c r="AF31" s="370"/>
      <c r="AG31" s="552" t="str">
        <f>TEXT(MAX(SUMIFS(INDEX(kasztok,,38),INDEX(kasztok,,1),választott_kaszt_1),SUMIFS(INDEX(kasztok,,38),INDEX(kasztok,,1),választott_kaszt_2))+MAX(0,ügyesség-10)+IF(választott_faj=khál,-30,0)+$AI31,"0")&amp;"%"</f>
        <v>0%</v>
      </c>
      <c r="AH31" s="552"/>
      <c r="AI31" s="573"/>
      <c r="AJ31" s="574"/>
      <c r="AK31" s="545"/>
      <c r="AL31" s="546"/>
      <c r="AM31" s="546"/>
      <c r="AN31" s="546"/>
      <c r="AO31" s="546"/>
      <c r="AP31" s="546"/>
      <c r="AQ31" s="546"/>
      <c r="AR31" s="546"/>
      <c r="AS31" s="546"/>
      <c r="AT31" s="546"/>
      <c r="AU31" s="547"/>
      <c r="AV31" s="500"/>
      <c r="AW31" s="501"/>
      <c r="AX31" s="501"/>
      <c r="AY31" s="501"/>
      <c r="AZ31" s="501"/>
      <c r="BA31" s="501"/>
      <c r="BB31" s="501"/>
      <c r="BC31" s="501"/>
      <c r="BD31" s="501"/>
      <c r="BE31" s="501"/>
      <c r="BF31" s="501"/>
      <c r="BG31" s="501"/>
      <c r="BH31" s="502"/>
      <c r="BI31" s="502"/>
      <c r="BJ31" s="503"/>
      <c r="BK31" s="503"/>
      <c r="BL31" s="503"/>
      <c r="BM31" s="497">
        <f t="shared" si="2"/>
        <v>0</v>
      </c>
      <c r="BN31" s="497"/>
      <c r="BO31" s="497"/>
      <c r="BP31" s="498"/>
      <c r="BQ31" s="498"/>
      <c r="BR31" s="498"/>
      <c r="BS31" s="498"/>
      <c r="BT31" s="498"/>
      <c r="BU31" s="499"/>
    </row>
    <row r="32" spans="1:73">
      <c r="A32" s="471"/>
      <c r="B32" s="472"/>
      <c r="C32" s="472"/>
      <c r="D32" s="472"/>
      <c r="E32" s="472"/>
      <c r="F32" s="472"/>
      <c r="G32" s="65"/>
      <c r="H32" s="473"/>
      <c r="I32" s="474"/>
      <c r="J32" s="471"/>
      <c r="K32" s="472"/>
      <c r="L32" s="472"/>
      <c r="M32" s="472"/>
      <c r="N32" s="472"/>
      <c r="O32" s="472"/>
      <c r="P32" s="122"/>
      <c r="Q32" s="181"/>
      <c r="R32" s="471"/>
      <c r="S32" s="472"/>
      <c r="T32" s="472"/>
      <c r="U32" s="472"/>
      <c r="V32" s="472"/>
      <c r="W32" s="472"/>
      <c r="X32" s="65"/>
      <c r="Y32" s="495"/>
      <c r="Z32" s="496"/>
      <c r="AA32" s="388" t="s">
        <v>90</v>
      </c>
      <c r="AB32" s="370"/>
      <c r="AC32" s="370"/>
      <c r="AD32" s="370"/>
      <c r="AE32" s="370"/>
      <c r="AF32" s="370"/>
      <c r="AG32" s="552" t="str">
        <f>TEXT(MAX(SUMIFS(INDEX(kasztok,,39),INDEX(kasztok,,1),választott_kaszt_1),SUMIFS(INDEX(kasztok,,39),INDEX(kasztok,,1),választott_kaszt_2))+MAX(0,ügyesség-10)+IF(választott_faj=törpe,35,0)+IF(választott_faj=udvari_ork,20,0)+$AI32,"0")&amp;"%"</f>
        <v>0%</v>
      </c>
      <c r="AH32" s="552"/>
      <c r="AI32" s="573"/>
      <c r="AJ32" s="574"/>
      <c r="AK32" s="545"/>
      <c r="AL32" s="546"/>
      <c r="AM32" s="546"/>
      <c r="AN32" s="546"/>
      <c r="AO32" s="546"/>
      <c r="AP32" s="546"/>
      <c r="AQ32" s="546"/>
      <c r="AR32" s="546"/>
      <c r="AS32" s="546"/>
      <c r="AT32" s="546"/>
      <c r="AU32" s="547"/>
      <c r="AV32" s="504"/>
      <c r="AW32" s="505"/>
      <c r="AX32" s="505"/>
      <c r="AY32" s="505"/>
      <c r="AZ32" s="505"/>
      <c r="BA32" s="505"/>
      <c r="BB32" s="505"/>
      <c r="BC32" s="505"/>
      <c r="BD32" s="505"/>
      <c r="BE32" s="505"/>
      <c r="BF32" s="505"/>
      <c r="BG32" s="506"/>
      <c r="BH32" s="507"/>
      <c r="BI32" s="508"/>
      <c r="BJ32" s="509"/>
      <c r="BK32" s="510"/>
      <c r="BL32" s="511"/>
      <c r="BM32" s="497">
        <f t="shared" si="2"/>
        <v>0</v>
      </c>
      <c r="BN32" s="497"/>
      <c r="BO32" s="497"/>
      <c r="BP32" s="498"/>
      <c r="BQ32" s="498"/>
      <c r="BR32" s="498"/>
      <c r="BS32" s="498"/>
      <c r="BT32" s="498"/>
      <c r="BU32" s="499"/>
    </row>
    <row r="33" spans="1:73">
      <c r="A33" s="471"/>
      <c r="B33" s="472"/>
      <c r="C33" s="472"/>
      <c r="D33" s="472"/>
      <c r="E33" s="472"/>
      <c r="F33" s="472"/>
      <c r="G33" s="120"/>
      <c r="H33" s="473"/>
      <c r="I33" s="474"/>
      <c r="J33" s="471"/>
      <c r="K33" s="472"/>
      <c r="L33" s="472"/>
      <c r="M33" s="472"/>
      <c r="N33" s="472"/>
      <c r="O33" s="472"/>
      <c r="P33" s="122"/>
      <c r="Q33" s="181"/>
      <c r="R33" s="471"/>
      <c r="S33" s="472"/>
      <c r="T33" s="472"/>
      <c r="U33" s="472"/>
      <c r="V33" s="472"/>
      <c r="W33" s="472"/>
      <c r="X33" s="65"/>
      <c r="Y33" s="495"/>
      <c r="Z33" s="496"/>
      <c r="AA33" s="388" t="s">
        <v>91</v>
      </c>
      <c r="AB33" s="370"/>
      <c r="AC33" s="370"/>
      <c r="AD33" s="370"/>
      <c r="AE33" s="370"/>
      <c r="AF33" s="370"/>
      <c r="AG33" s="552" t="str">
        <f>TEXT(MAX(SUMIFS(INDEX(kasztok,,40),INDEX(kasztok,,1),választott_kaszt_1),SUMIFS(INDEX(kasztok,,40),INDEX(kasztok,,1),választott_kaszt_2))+MAX(0,ügyesség-10)+IF(választott_faj=khál,-30,0)+$AI33,"0")&amp;"%"</f>
        <v>0%</v>
      </c>
      <c r="AH33" s="552"/>
      <c r="AI33" s="573"/>
      <c r="AJ33" s="574"/>
      <c r="AK33" s="545"/>
      <c r="AL33" s="546"/>
      <c r="AM33" s="546"/>
      <c r="AN33" s="546"/>
      <c r="AO33" s="546"/>
      <c r="AP33" s="546"/>
      <c r="AQ33" s="546"/>
      <c r="AR33" s="546"/>
      <c r="AS33" s="546"/>
      <c r="AT33" s="546"/>
      <c r="AU33" s="547"/>
      <c r="AV33" s="504"/>
      <c r="AW33" s="505"/>
      <c r="AX33" s="505"/>
      <c r="AY33" s="505"/>
      <c r="AZ33" s="505"/>
      <c r="BA33" s="505"/>
      <c r="BB33" s="505"/>
      <c r="BC33" s="505"/>
      <c r="BD33" s="505"/>
      <c r="BE33" s="505"/>
      <c r="BF33" s="505"/>
      <c r="BG33" s="506"/>
      <c r="BH33" s="507"/>
      <c r="BI33" s="508"/>
      <c r="BJ33" s="509"/>
      <c r="BK33" s="510"/>
      <c r="BL33" s="511"/>
      <c r="BM33" s="497">
        <f t="shared" si="2"/>
        <v>0</v>
      </c>
      <c r="BN33" s="497"/>
      <c r="BO33" s="497"/>
      <c r="BP33" s="498"/>
      <c r="BQ33" s="498"/>
      <c r="BR33" s="498"/>
      <c r="BS33" s="498"/>
      <c r="BT33" s="498"/>
      <c r="BU33" s="499"/>
    </row>
    <row r="34" spans="1:73" ht="15.75" thickBot="1">
      <c r="A34" s="471"/>
      <c r="B34" s="472"/>
      <c r="C34" s="472"/>
      <c r="D34" s="472"/>
      <c r="E34" s="472"/>
      <c r="F34" s="472"/>
      <c r="G34" s="65"/>
      <c r="H34" s="473"/>
      <c r="I34" s="474"/>
      <c r="J34" s="471"/>
      <c r="K34" s="472"/>
      <c r="L34" s="472"/>
      <c r="M34" s="472"/>
      <c r="N34" s="472"/>
      <c r="O34" s="472"/>
      <c r="P34" s="144"/>
      <c r="Q34" s="181"/>
      <c r="R34" s="471"/>
      <c r="S34" s="472"/>
      <c r="T34" s="472"/>
      <c r="U34" s="472"/>
      <c r="V34" s="472"/>
      <c r="W34" s="472"/>
      <c r="X34" s="65"/>
      <c r="Y34" s="495"/>
      <c r="Z34" s="496"/>
      <c r="AA34" s="548" t="s">
        <v>92</v>
      </c>
      <c r="AB34" s="549"/>
      <c r="AC34" s="549"/>
      <c r="AD34" s="549"/>
      <c r="AE34" s="549"/>
      <c r="AF34" s="549"/>
      <c r="AG34" s="550" t="str">
        <f>TEXT(MAX(SUMIFS(INDEX(kasztok,,41),INDEX(kasztok,,1),választott_kaszt_1),SUMIFS(INDEX(kasztok,,41),INDEX(kasztok,,1),választott_kaszt_2))+MAX(0,ügyesség-10)+IF(választott_faj=törpe,30,0)+IF(választott_faj=udvari_ork,10,0)+$AI34,"0")&amp;"%"</f>
        <v>0%</v>
      </c>
      <c r="AH34" s="550"/>
      <c r="AI34" s="567">
        <f>38*0</f>
        <v>0</v>
      </c>
      <c r="AJ34" s="568"/>
      <c r="AK34" s="545"/>
      <c r="AL34" s="546"/>
      <c r="AM34" s="546"/>
      <c r="AN34" s="546"/>
      <c r="AO34" s="546"/>
      <c r="AP34" s="546"/>
      <c r="AQ34" s="546"/>
      <c r="AR34" s="546"/>
      <c r="AS34" s="546"/>
      <c r="AT34" s="546"/>
      <c r="AU34" s="547"/>
      <c r="AV34" s="500"/>
      <c r="AW34" s="501"/>
      <c r="AX34" s="501"/>
      <c r="AY34" s="501"/>
      <c r="AZ34" s="501"/>
      <c r="BA34" s="501"/>
      <c r="BB34" s="501"/>
      <c r="BC34" s="501"/>
      <c r="BD34" s="501"/>
      <c r="BE34" s="501"/>
      <c r="BF34" s="501"/>
      <c r="BG34" s="501"/>
      <c r="BH34" s="502"/>
      <c r="BI34" s="502"/>
      <c r="BJ34" s="503"/>
      <c r="BK34" s="503"/>
      <c r="BL34" s="503"/>
      <c r="BM34" s="497">
        <f t="shared" si="2"/>
        <v>0</v>
      </c>
      <c r="BN34" s="497"/>
      <c r="BO34" s="497"/>
      <c r="BP34" s="498"/>
      <c r="BQ34" s="498"/>
      <c r="BR34" s="498"/>
      <c r="BS34" s="498"/>
      <c r="BT34" s="498"/>
      <c r="BU34" s="499"/>
    </row>
    <row r="35" spans="1:73">
      <c r="A35" s="471"/>
      <c r="B35" s="472"/>
      <c r="C35" s="472"/>
      <c r="D35" s="472"/>
      <c r="E35" s="472"/>
      <c r="F35" s="472"/>
      <c r="G35" s="141"/>
      <c r="H35" s="473"/>
      <c r="I35" s="474"/>
      <c r="J35" s="471"/>
      <c r="K35" s="472"/>
      <c r="L35" s="472"/>
      <c r="M35" s="472"/>
      <c r="N35" s="472"/>
      <c r="O35" s="472"/>
      <c r="P35" s="144"/>
      <c r="Q35" s="68"/>
      <c r="R35" s="471"/>
      <c r="S35" s="472"/>
      <c r="T35" s="472"/>
      <c r="U35" s="472"/>
      <c r="V35" s="472"/>
      <c r="W35" s="472"/>
      <c r="X35" s="65"/>
      <c r="Y35" s="495"/>
      <c r="Z35" s="496"/>
      <c r="AA35" s="477" t="s">
        <v>226</v>
      </c>
      <c r="AB35" s="478"/>
      <c r="AC35" s="478"/>
      <c r="AD35" s="478"/>
      <c r="AE35" s="478"/>
      <c r="AF35" s="478"/>
      <c r="AG35" s="478"/>
      <c r="AH35" s="9" t="s">
        <v>93</v>
      </c>
      <c r="AI35" s="478" t="s">
        <v>94</v>
      </c>
      <c r="AJ35" s="479"/>
      <c r="AK35" s="545"/>
      <c r="AL35" s="546"/>
      <c r="AM35" s="546"/>
      <c r="AN35" s="546"/>
      <c r="AO35" s="546"/>
      <c r="AP35" s="546"/>
      <c r="AQ35" s="546"/>
      <c r="AR35" s="546"/>
      <c r="AS35" s="546"/>
      <c r="AT35" s="546"/>
      <c r="AU35" s="547"/>
      <c r="AV35" s="500"/>
      <c r="AW35" s="501"/>
      <c r="AX35" s="501"/>
      <c r="AY35" s="501"/>
      <c r="AZ35" s="501"/>
      <c r="BA35" s="501"/>
      <c r="BB35" s="501"/>
      <c r="BC35" s="501"/>
      <c r="BD35" s="501"/>
      <c r="BE35" s="501"/>
      <c r="BF35" s="501"/>
      <c r="BG35" s="501"/>
      <c r="BH35" s="502"/>
      <c r="BI35" s="502"/>
      <c r="BJ35" s="503"/>
      <c r="BK35" s="503"/>
      <c r="BL35" s="503"/>
      <c r="BM35" s="497">
        <f t="shared" si="2"/>
        <v>0</v>
      </c>
      <c r="BN35" s="497"/>
      <c r="BO35" s="497"/>
      <c r="BP35" s="498"/>
      <c r="BQ35" s="498"/>
      <c r="BR35" s="498"/>
      <c r="BS35" s="498"/>
      <c r="BT35" s="498"/>
      <c r="BU35" s="499"/>
    </row>
    <row r="36" spans="1:73">
      <c r="A36" s="471"/>
      <c r="B36" s="472"/>
      <c r="C36" s="472"/>
      <c r="D36" s="472"/>
      <c r="E36" s="472"/>
      <c r="F36" s="472"/>
      <c r="G36" s="141"/>
      <c r="H36" s="473"/>
      <c r="I36" s="474"/>
      <c r="J36" s="471"/>
      <c r="K36" s="472"/>
      <c r="L36" s="472"/>
      <c r="M36" s="472"/>
      <c r="N36" s="472"/>
      <c r="O36" s="472"/>
      <c r="P36" s="122"/>
      <c r="Q36" s="68"/>
      <c r="R36" s="471"/>
      <c r="S36" s="472"/>
      <c r="T36" s="472"/>
      <c r="U36" s="472"/>
      <c r="V36" s="472"/>
      <c r="W36" s="472"/>
      <c r="X36" s="65"/>
      <c r="Y36" s="495"/>
      <c r="Z36" s="496"/>
      <c r="AA36" s="471"/>
      <c r="AB36" s="472"/>
      <c r="AC36" s="472"/>
      <c r="AD36" s="472"/>
      <c r="AE36" s="472"/>
      <c r="AF36" s="472"/>
      <c r="AG36" s="472"/>
      <c r="AH36" s="65"/>
      <c r="AI36" s="473"/>
      <c r="AJ36" s="474"/>
      <c r="AK36" s="545"/>
      <c r="AL36" s="546"/>
      <c r="AM36" s="546"/>
      <c r="AN36" s="546"/>
      <c r="AO36" s="546"/>
      <c r="AP36" s="546"/>
      <c r="AQ36" s="546"/>
      <c r="AR36" s="546"/>
      <c r="AS36" s="546"/>
      <c r="AT36" s="546"/>
      <c r="AU36" s="547"/>
      <c r="AV36" s="500"/>
      <c r="AW36" s="501"/>
      <c r="AX36" s="501"/>
      <c r="AY36" s="501"/>
      <c r="AZ36" s="501"/>
      <c r="BA36" s="501"/>
      <c r="BB36" s="501"/>
      <c r="BC36" s="501"/>
      <c r="BD36" s="501"/>
      <c r="BE36" s="501"/>
      <c r="BF36" s="501"/>
      <c r="BG36" s="501"/>
      <c r="BH36" s="502"/>
      <c r="BI36" s="502"/>
      <c r="BJ36" s="503"/>
      <c r="BK36" s="503"/>
      <c r="BL36" s="503"/>
      <c r="BM36" s="497">
        <f t="shared" si="2"/>
        <v>0</v>
      </c>
      <c r="BN36" s="497"/>
      <c r="BO36" s="497"/>
      <c r="BP36" s="498"/>
      <c r="BQ36" s="498"/>
      <c r="BR36" s="498"/>
      <c r="BS36" s="498"/>
      <c r="BT36" s="498"/>
      <c r="BU36" s="499"/>
    </row>
    <row r="37" spans="1:73">
      <c r="A37" s="471"/>
      <c r="B37" s="472"/>
      <c r="C37" s="472"/>
      <c r="D37" s="472"/>
      <c r="E37" s="472"/>
      <c r="F37" s="472"/>
      <c r="G37" s="141"/>
      <c r="H37" s="473"/>
      <c r="I37" s="474"/>
      <c r="J37" s="471"/>
      <c r="K37" s="472"/>
      <c r="L37" s="472"/>
      <c r="M37" s="472"/>
      <c r="N37" s="472"/>
      <c r="O37" s="472"/>
      <c r="P37" s="122"/>
      <c r="Q37" s="68"/>
      <c r="R37" s="471"/>
      <c r="S37" s="472"/>
      <c r="T37" s="472"/>
      <c r="U37" s="472"/>
      <c r="V37" s="472"/>
      <c r="W37" s="472"/>
      <c r="X37" s="65"/>
      <c r="Y37" s="495"/>
      <c r="Z37" s="496"/>
      <c r="AA37" s="480"/>
      <c r="AB37" s="481"/>
      <c r="AC37" s="481"/>
      <c r="AD37" s="481"/>
      <c r="AE37" s="481"/>
      <c r="AF37" s="481"/>
      <c r="AG37" s="481"/>
      <c r="AH37" s="65"/>
      <c r="AI37" s="473"/>
      <c r="AJ37" s="474"/>
      <c r="AK37" s="545"/>
      <c r="AL37" s="546"/>
      <c r="AM37" s="546"/>
      <c r="AN37" s="546"/>
      <c r="AO37" s="546"/>
      <c r="AP37" s="546"/>
      <c r="AQ37" s="546"/>
      <c r="AR37" s="546"/>
      <c r="AS37" s="546"/>
      <c r="AT37" s="546"/>
      <c r="AU37" s="547"/>
      <c r="AV37" s="500"/>
      <c r="AW37" s="501"/>
      <c r="AX37" s="501"/>
      <c r="AY37" s="501"/>
      <c r="AZ37" s="501"/>
      <c r="BA37" s="501"/>
      <c r="BB37" s="501"/>
      <c r="BC37" s="501"/>
      <c r="BD37" s="501"/>
      <c r="BE37" s="501"/>
      <c r="BF37" s="501"/>
      <c r="BG37" s="501"/>
      <c r="BH37" s="502"/>
      <c r="BI37" s="502"/>
      <c r="BJ37" s="503"/>
      <c r="BK37" s="503"/>
      <c r="BL37" s="503"/>
      <c r="BM37" s="497">
        <f t="shared" si="2"/>
        <v>0</v>
      </c>
      <c r="BN37" s="497"/>
      <c r="BO37" s="497"/>
      <c r="BP37" s="498"/>
      <c r="BQ37" s="498"/>
      <c r="BR37" s="498"/>
      <c r="BS37" s="498"/>
      <c r="BT37" s="498"/>
      <c r="BU37" s="499"/>
    </row>
    <row r="38" spans="1:73">
      <c r="A38" s="471"/>
      <c r="B38" s="472"/>
      <c r="C38" s="472"/>
      <c r="D38" s="472"/>
      <c r="E38" s="472"/>
      <c r="F38" s="472"/>
      <c r="G38" s="65"/>
      <c r="H38" s="494"/>
      <c r="I38" s="474"/>
      <c r="J38" s="471"/>
      <c r="K38" s="472"/>
      <c r="L38" s="472"/>
      <c r="M38" s="472"/>
      <c r="N38" s="472"/>
      <c r="O38" s="472"/>
      <c r="P38" s="65"/>
      <c r="Q38" s="121"/>
      <c r="R38" s="471"/>
      <c r="S38" s="472"/>
      <c r="T38" s="472"/>
      <c r="U38" s="472"/>
      <c r="V38" s="472"/>
      <c r="W38" s="472"/>
      <c r="X38" s="141"/>
      <c r="Y38" s="495"/>
      <c r="Z38" s="496"/>
      <c r="AA38" s="482"/>
      <c r="AB38" s="472"/>
      <c r="AC38" s="472"/>
      <c r="AD38" s="472"/>
      <c r="AE38" s="472"/>
      <c r="AF38" s="472"/>
      <c r="AG38" s="472"/>
      <c r="AH38" s="65"/>
      <c r="AI38" s="473"/>
      <c r="AJ38" s="474"/>
      <c r="AK38" s="545"/>
      <c r="AL38" s="546"/>
      <c r="AM38" s="546"/>
      <c r="AN38" s="546"/>
      <c r="AO38" s="546"/>
      <c r="AP38" s="546"/>
      <c r="AQ38" s="546"/>
      <c r="AR38" s="546"/>
      <c r="AS38" s="546"/>
      <c r="AT38" s="546"/>
      <c r="AU38" s="547"/>
      <c r="AV38" s="500"/>
      <c r="AW38" s="501"/>
      <c r="AX38" s="501"/>
      <c r="AY38" s="501"/>
      <c r="AZ38" s="501"/>
      <c r="BA38" s="501"/>
      <c r="BB38" s="501"/>
      <c r="BC38" s="501"/>
      <c r="BD38" s="501"/>
      <c r="BE38" s="501"/>
      <c r="BF38" s="501"/>
      <c r="BG38" s="501"/>
      <c r="BH38" s="502"/>
      <c r="BI38" s="502"/>
      <c r="BJ38" s="503"/>
      <c r="BK38" s="503"/>
      <c r="BL38" s="503"/>
      <c r="BM38" s="497">
        <f t="shared" si="2"/>
        <v>0</v>
      </c>
      <c r="BN38" s="497"/>
      <c r="BO38" s="497"/>
      <c r="BP38" s="498"/>
      <c r="BQ38" s="498"/>
      <c r="BR38" s="498"/>
      <c r="BS38" s="498"/>
      <c r="BT38" s="498"/>
      <c r="BU38" s="499"/>
    </row>
    <row r="39" spans="1:73">
      <c r="A39" s="471"/>
      <c r="B39" s="472"/>
      <c r="C39" s="472"/>
      <c r="D39" s="472"/>
      <c r="E39" s="472"/>
      <c r="F39" s="472"/>
      <c r="G39" s="65"/>
      <c r="H39" s="473"/>
      <c r="I39" s="474"/>
      <c r="J39" s="471"/>
      <c r="K39" s="472"/>
      <c r="L39" s="472"/>
      <c r="M39" s="472"/>
      <c r="N39" s="472"/>
      <c r="O39" s="472"/>
      <c r="P39" s="65"/>
      <c r="Q39" s="67"/>
      <c r="R39" s="471"/>
      <c r="S39" s="472"/>
      <c r="T39" s="472"/>
      <c r="U39" s="472"/>
      <c r="V39" s="472"/>
      <c r="W39" s="472"/>
      <c r="X39" s="141"/>
      <c r="Y39" s="495"/>
      <c r="Z39" s="496"/>
      <c r="AA39" s="482"/>
      <c r="AB39" s="472"/>
      <c r="AC39" s="472"/>
      <c r="AD39" s="472"/>
      <c r="AE39" s="472"/>
      <c r="AF39" s="472"/>
      <c r="AG39" s="472"/>
      <c r="AH39" s="65"/>
      <c r="AI39" s="473"/>
      <c r="AJ39" s="474"/>
      <c r="AK39" s="545"/>
      <c r="AL39" s="546"/>
      <c r="AM39" s="546"/>
      <c r="AN39" s="546"/>
      <c r="AO39" s="546"/>
      <c r="AP39" s="546"/>
      <c r="AQ39" s="546"/>
      <c r="AR39" s="546"/>
      <c r="AS39" s="546"/>
      <c r="AT39" s="546"/>
      <c r="AU39" s="547"/>
      <c r="AV39" s="500"/>
      <c r="AW39" s="501"/>
      <c r="AX39" s="501"/>
      <c r="AY39" s="501"/>
      <c r="AZ39" s="501"/>
      <c r="BA39" s="501"/>
      <c r="BB39" s="501"/>
      <c r="BC39" s="501"/>
      <c r="BD39" s="501"/>
      <c r="BE39" s="501"/>
      <c r="BF39" s="501"/>
      <c r="BG39" s="501"/>
      <c r="BH39" s="502"/>
      <c r="BI39" s="502"/>
      <c r="BJ39" s="503"/>
      <c r="BK39" s="503"/>
      <c r="BL39" s="503"/>
      <c r="BM39" s="497">
        <f t="shared" si="2"/>
        <v>0</v>
      </c>
      <c r="BN39" s="497"/>
      <c r="BO39" s="497"/>
      <c r="BP39" s="498"/>
      <c r="BQ39" s="498"/>
      <c r="BR39" s="498"/>
      <c r="BS39" s="498"/>
      <c r="BT39" s="498"/>
      <c r="BU39" s="499"/>
    </row>
    <row r="40" spans="1:73">
      <c r="A40" s="471"/>
      <c r="B40" s="472"/>
      <c r="C40" s="472"/>
      <c r="D40" s="472"/>
      <c r="E40" s="472"/>
      <c r="F40" s="472"/>
      <c r="G40" s="65"/>
      <c r="H40" s="473"/>
      <c r="I40" s="474"/>
      <c r="J40" s="471"/>
      <c r="K40" s="472"/>
      <c r="L40" s="472"/>
      <c r="M40" s="472"/>
      <c r="N40" s="472"/>
      <c r="O40" s="472"/>
      <c r="P40" s="120"/>
      <c r="Q40" s="68"/>
      <c r="R40" s="471"/>
      <c r="S40" s="472"/>
      <c r="T40" s="472"/>
      <c r="U40" s="472"/>
      <c r="V40" s="472"/>
      <c r="W40" s="472"/>
      <c r="X40" s="141"/>
      <c r="Y40" s="495"/>
      <c r="Z40" s="496"/>
      <c r="AA40" s="482"/>
      <c r="AB40" s="472"/>
      <c r="AC40" s="472"/>
      <c r="AD40" s="472"/>
      <c r="AE40" s="472"/>
      <c r="AF40" s="472"/>
      <c r="AG40" s="472"/>
      <c r="AH40" s="65"/>
      <c r="AI40" s="473"/>
      <c r="AJ40" s="474"/>
      <c r="AK40" s="545"/>
      <c r="AL40" s="546"/>
      <c r="AM40" s="546"/>
      <c r="AN40" s="546"/>
      <c r="AO40" s="546"/>
      <c r="AP40" s="546"/>
      <c r="AQ40" s="546"/>
      <c r="AR40" s="546"/>
      <c r="AS40" s="546"/>
      <c r="AT40" s="546"/>
      <c r="AU40" s="547"/>
      <c r="AV40" s="500"/>
      <c r="AW40" s="501"/>
      <c r="AX40" s="501"/>
      <c r="AY40" s="501"/>
      <c r="AZ40" s="501"/>
      <c r="BA40" s="501"/>
      <c r="BB40" s="501"/>
      <c r="BC40" s="501"/>
      <c r="BD40" s="501"/>
      <c r="BE40" s="501"/>
      <c r="BF40" s="501"/>
      <c r="BG40" s="501"/>
      <c r="BH40" s="502"/>
      <c r="BI40" s="502"/>
      <c r="BJ40" s="503"/>
      <c r="BK40" s="503"/>
      <c r="BL40" s="503"/>
      <c r="BM40" s="497">
        <f t="shared" si="2"/>
        <v>0</v>
      </c>
      <c r="BN40" s="497"/>
      <c r="BO40" s="497"/>
      <c r="BP40" s="498"/>
      <c r="BQ40" s="498"/>
      <c r="BR40" s="498"/>
      <c r="BS40" s="498"/>
      <c r="BT40" s="498"/>
      <c r="BU40" s="499"/>
    </row>
    <row r="41" spans="1:73">
      <c r="A41" s="483"/>
      <c r="B41" s="484"/>
      <c r="C41" s="484"/>
      <c r="D41" s="484"/>
      <c r="E41" s="484"/>
      <c r="F41" s="484"/>
      <c r="G41" s="69"/>
      <c r="H41" s="487"/>
      <c r="I41" s="488"/>
      <c r="J41" s="483"/>
      <c r="K41" s="484"/>
      <c r="L41" s="484"/>
      <c r="M41" s="484"/>
      <c r="N41" s="484"/>
      <c r="O41" s="484"/>
      <c r="P41" s="69"/>
      <c r="Q41" s="70"/>
      <c r="R41" s="471"/>
      <c r="S41" s="472"/>
      <c r="T41" s="472"/>
      <c r="U41" s="472"/>
      <c r="V41" s="472"/>
      <c r="W41" s="472"/>
      <c r="X41" s="141"/>
      <c r="Y41" s="495"/>
      <c r="Z41" s="496"/>
      <c r="AA41" s="482"/>
      <c r="AB41" s="472"/>
      <c r="AC41" s="472"/>
      <c r="AD41" s="472"/>
      <c r="AE41" s="472"/>
      <c r="AF41" s="472"/>
      <c r="AG41" s="472"/>
      <c r="AH41" s="65"/>
      <c r="AI41" s="473"/>
      <c r="AJ41" s="474"/>
      <c r="AK41" s="545"/>
      <c r="AL41" s="546"/>
      <c r="AM41" s="546"/>
      <c r="AN41" s="546"/>
      <c r="AO41" s="546"/>
      <c r="AP41" s="546"/>
      <c r="AQ41" s="546"/>
      <c r="AR41" s="546"/>
      <c r="AS41" s="546"/>
      <c r="AT41" s="546"/>
      <c r="AU41" s="547"/>
      <c r="AV41" s="500"/>
      <c r="AW41" s="501"/>
      <c r="AX41" s="501"/>
      <c r="AY41" s="501"/>
      <c r="AZ41" s="501"/>
      <c r="BA41" s="501"/>
      <c r="BB41" s="501"/>
      <c r="BC41" s="501"/>
      <c r="BD41" s="501"/>
      <c r="BE41" s="501"/>
      <c r="BF41" s="501"/>
      <c r="BG41" s="501"/>
      <c r="BH41" s="502"/>
      <c r="BI41" s="502"/>
      <c r="BJ41" s="503"/>
      <c r="BK41" s="503"/>
      <c r="BL41" s="503"/>
      <c r="BM41" s="497">
        <f t="shared" si="2"/>
        <v>0</v>
      </c>
      <c r="BN41" s="497"/>
      <c r="BO41" s="497"/>
      <c r="BP41" s="498"/>
      <c r="BQ41" s="498"/>
      <c r="BR41" s="498"/>
      <c r="BS41" s="498"/>
      <c r="BT41" s="498"/>
      <c r="BU41" s="499"/>
    </row>
    <row r="42" spans="1:73" ht="15.75" thickBot="1">
      <c r="A42" s="471"/>
      <c r="B42" s="472"/>
      <c r="C42" s="472"/>
      <c r="D42" s="472"/>
      <c r="E42" s="472"/>
      <c r="F42" s="472"/>
      <c r="G42" s="65"/>
      <c r="H42" s="473"/>
      <c r="I42" s="474"/>
      <c r="J42" s="471"/>
      <c r="K42" s="472"/>
      <c r="L42" s="472"/>
      <c r="M42" s="472"/>
      <c r="N42" s="472"/>
      <c r="O42" s="472"/>
      <c r="P42" s="65"/>
      <c r="Q42" s="67"/>
      <c r="R42" s="471"/>
      <c r="S42" s="472"/>
      <c r="T42" s="472"/>
      <c r="U42" s="472"/>
      <c r="V42" s="472"/>
      <c r="W42" s="472"/>
      <c r="X42" s="120"/>
      <c r="Y42" s="495"/>
      <c r="Z42" s="496"/>
      <c r="AA42" s="471"/>
      <c r="AB42" s="472"/>
      <c r="AC42" s="472"/>
      <c r="AD42" s="472"/>
      <c r="AE42" s="472"/>
      <c r="AF42" s="472"/>
      <c r="AG42" s="472"/>
      <c r="AH42" s="65"/>
      <c r="AI42" s="473"/>
      <c r="AJ42" s="474"/>
      <c r="AK42" s="545"/>
      <c r="AL42" s="546"/>
      <c r="AM42" s="546"/>
      <c r="AN42" s="546"/>
      <c r="AO42" s="546"/>
      <c r="AP42" s="546"/>
      <c r="AQ42" s="546"/>
      <c r="AR42" s="546"/>
      <c r="AS42" s="546"/>
      <c r="AT42" s="546"/>
      <c r="AU42" s="547"/>
      <c r="AV42" s="500"/>
      <c r="AW42" s="501"/>
      <c r="AX42" s="501"/>
      <c r="AY42" s="501"/>
      <c r="AZ42" s="501"/>
      <c r="BA42" s="501"/>
      <c r="BB42" s="501"/>
      <c r="BC42" s="501"/>
      <c r="BD42" s="501"/>
      <c r="BE42" s="501"/>
      <c r="BF42" s="501"/>
      <c r="BG42" s="501"/>
      <c r="BH42" s="502"/>
      <c r="BI42" s="502"/>
      <c r="BJ42" s="503"/>
      <c r="BK42" s="503"/>
      <c r="BL42" s="503"/>
      <c r="BM42" s="497">
        <f t="shared" si="2"/>
        <v>0</v>
      </c>
      <c r="BN42" s="497"/>
      <c r="BO42" s="497"/>
      <c r="BP42" s="498"/>
      <c r="BQ42" s="498"/>
      <c r="BR42" s="498"/>
      <c r="BS42" s="498"/>
      <c r="BT42" s="498"/>
      <c r="BU42" s="499"/>
    </row>
    <row r="43" spans="1:73">
      <c r="A43" s="471"/>
      <c r="B43" s="472"/>
      <c r="C43" s="472"/>
      <c r="D43" s="472"/>
      <c r="E43" s="472"/>
      <c r="F43" s="472"/>
      <c r="G43" s="65"/>
      <c r="H43" s="473"/>
      <c r="I43" s="474"/>
      <c r="J43" s="471"/>
      <c r="K43" s="472"/>
      <c r="L43" s="472"/>
      <c r="M43" s="472"/>
      <c r="N43" s="472"/>
      <c r="O43" s="472"/>
      <c r="P43" s="65"/>
      <c r="Q43" s="67"/>
      <c r="R43" s="471"/>
      <c r="S43" s="472"/>
      <c r="T43" s="472"/>
      <c r="U43" s="472"/>
      <c r="V43" s="472"/>
      <c r="W43" s="472"/>
      <c r="X43" s="65"/>
      <c r="Y43" s="495"/>
      <c r="Z43" s="496"/>
      <c r="AA43" s="477" t="s">
        <v>382</v>
      </c>
      <c r="AB43" s="478"/>
      <c r="AC43" s="478"/>
      <c r="AD43" s="478"/>
      <c r="AE43" s="478"/>
      <c r="AF43" s="478"/>
      <c r="AG43" s="478"/>
      <c r="AH43" s="9" t="s">
        <v>93</v>
      </c>
      <c r="AI43" s="478" t="s">
        <v>94</v>
      </c>
      <c r="AJ43" s="479"/>
      <c r="AK43" s="545"/>
      <c r="AL43" s="546"/>
      <c r="AM43" s="546"/>
      <c r="AN43" s="546"/>
      <c r="AO43" s="546"/>
      <c r="AP43" s="546"/>
      <c r="AQ43" s="546"/>
      <c r="AR43" s="546"/>
      <c r="AS43" s="546"/>
      <c r="AT43" s="546"/>
      <c r="AU43" s="547"/>
      <c r="AV43" s="500"/>
      <c r="AW43" s="501"/>
      <c r="AX43" s="501"/>
      <c r="AY43" s="501"/>
      <c r="AZ43" s="501"/>
      <c r="BA43" s="501"/>
      <c r="BB43" s="501"/>
      <c r="BC43" s="501"/>
      <c r="BD43" s="501"/>
      <c r="BE43" s="501"/>
      <c r="BF43" s="501"/>
      <c r="BG43" s="501"/>
      <c r="BH43" s="502"/>
      <c r="BI43" s="502"/>
      <c r="BJ43" s="503"/>
      <c r="BK43" s="503"/>
      <c r="BL43" s="503"/>
      <c r="BM43" s="497">
        <f t="shared" si="2"/>
        <v>0</v>
      </c>
      <c r="BN43" s="497"/>
      <c r="BO43" s="497"/>
      <c r="BP43" s="498"/>
      <c r="BQ43" s="498"/>
      <c r="BR43" s="498"/>
      <c r="BS43" s="498"/>
      <c r="BT43" s="498"/>
      <c r="BU43" s="499"/>
    </row>
    <row r="44" spans="1:73">
      <c r="A44" s="471"/>
      <c r="B44" s="472"/>
      <c r="C44" s="472"/>
      <c r="D44" s="472"/>
      <c r="E44" s="472"/>
      <c r="F44" s="472"/>
      <c r="G44" s="65"/>
      <c r="H44" s="473"/>
      <c r="I44" s="474"/>
      <c r="J44" s="471"/>
      <c r="K44" s="472"/>
      <c r="L44" s="472"/>
      <c r="M44" s="472"/>
      <c r="N44" s="472"/>
      <c r="O44" s="472"/>
      <c r="P44" s="65"/>
      <c r="Q44" s="67"/>
      <c r="R44" s="471"/>
      <c r="S44" s="472"/>
      <c r="T44" s="472"/>
      <c r="U44" s="472"/>
      <c r="V44" s="472"/>
      <c r="W44" s="472"/>
      <c r="X44" s="65"/>
      <c r="Y44" s="495"/>
      <c r="Z44" s="496"/>
      <c r="AA44" s="482"/>
      <c r="AB44" s="472"/>
      <c r="AC44" s="472"/>
      <c r="AD44" s="472"/>
      <c r="AE44" s="472"/>
      <c r="AF44" s="472"/>
      <c r="AG44" s="472"/>
      <c r="AH44" s="65"/>
      <c r="AI44" s="473"/>
      <c r="AJ44" s="474"/>
      <c r="AK44" s="545"/>
      <c r="AL44" s="546"/>
      <c r="AM44" s="546"/>
      <c r="AN44" s="546"/>
      <c r="AO44" s="546"/>
      <c r="AP44" s="546"/>
      <c r="AQ44" s="546"/>
      <c r="AR44" s="546"/>
      <c r="AS44" s="546"/>
      <c r="AT44" s="546"/>
      <c r="AU44" s="547"/>
      <c r="AV44" s="515"/>
      <c r="AW44" s="516"/>
      <c r="AX44" s="516"/>
      <c r="AY44" s="516"/>
      <c r="AZ44" s="516"/>
      <c r="BA44" s="516"/>
      <c r="BB44" s="516"/>
      <c r="BC44" s="516"/>
      <c r="BD44" s="516"/>
      <c r="BE44" s="516"/>
      <c r="BF44" s="516"/>
      <c r="BG44" s="516"/>
      <c r="BH44" s="517"/>
      <c r="BI44" s="517"/>
      <c r="BJ44" s="518"/>
      <c r="BK44" s="518"/>
      <c r="BL44" s="518"/>
      <c r="BM44" s="519">
        <f t="shared" si="2"/>
        <v>0</v>
      </c>
      <c r="BN44" s="519"/>
      <c r="BO44" s="519"/>
      <c r="BP44" s="520"/>
      <c r="BQ44" s="520"/>
      <c r="BR44" s="520"/>
      <c r="BS44" s="520"/>
      <c r="BT44" s="520"/>
      <c r="BU44" s="521"/>
    </row>
    <row r="45" spans="1:73" ht="16.5" thickBot="1">
      <c r="A45" s="485"/>
      <c r="B45" s="486"/>
      <c r="C45" s="486"/>
      <c r="D45" s="486"/>
      <c r="E45" s="486"/>
      <c r="F45" s="486"/>
      <c r="G45" s="66"/>
      <c r="H45" s="475"/>
      <c r="I45" s="476"/>
      <c r="J45" s="485"/>
      <c r="K45" s="486"/>
      <c r="L45" s="486"/>
      <c r="M45" s="486"/>
      <c r="N45" s="486"/>
      <c r="O45" s="486"/>
      <c r="P45" s="66"/>
      <c r="Q45" s="71"/>
      <c r="R45" s="485"/>
      <c r="S45" s="486"/>
      <c r="T45" s="486"/>
      <c r="U45" s="486"/>
      <c r="V45" s="486"/>
      <c r="W45" s="486"/>
      <c r="X45" s="66"/>
      <c r="Y45" s="475"/>
      <c r="Z45" s="476"/>
      <c r="AA45" s="544"/>
      <c r="AB45" s="486"/>
      <c r="AC45" s="486"/>
      <c r="AD45" s="486"/>
      <c r="AE45" s="486"/>
      <c r="AF45" s="486"/>
      <c r="AG45" s="486"/>
      <c r="AH45" s="66"/>
      <c r="AI45" s="475"/>
      <c r="AJ45" s="476"/>
      <c r="AK45" s="557" t="s">
        <v>1272</v>
      </c>
      <c r="AL45" s="558"/>
      <c r="AM45" s="558"/>
      <c r="AN45" s="558"/>
      <c r="AO45" s="558"/>
      <c r="AP45" s="558"/>
      <c r="AQ45" s="558"/>
      <c r="AR45" s="558"/>
      <c r="AS45" s="558"/>
      <c r="AT45" s="558"/>
      <c r="AU45" s="558"/>
      <c r="AV45" s="558"/>
      <c r="AW45" s="558"/>
      <c r="AX45" s="558"/>
      <c r="AY45" s="558"/>
      <c r="AZ45" s="558"/>
      <c r="BA45" s="558"/>
      <c r="BB45" s="558"/>
      <c r="BC45" s="558"/>
      <c r="BD45" s="558"/>
      <c r="BE45" s="558"/>
      <c r="BF45" s="558"/>
      <c r="BG45" s="558"/>
      <c r="BH45" s="558"/>
      <c r="BI45" s="558"/>
      <c r="BJ45" s="558"/>
      <c r="BK45" s="558"/>
      <c r="BL45" s="558"/>
      <c r="BM45" s="558"/>
      <c r="BN45" s="558"/>
      <c r="BO45" s="558"/>
      <c r="BP45" s="558"/>
      <c r="BQ45" s="558"/>
      <c r="BR45" s="558"/>
      <c r="BS45" s="558"/>
      <c r="BT45" s="558"/>
      <c r="BU45" s="559"/>
    </row>
    <row r="55" spans="27:36"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27:36"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27:36">
      <c r="AA57" s="7"/>
      <c r="AB57" s="7"/>
      <c r="AC57" s="7"/>
      <c r="AD57" s="7"/>
      <c r="AE57" s="7"/>
      <c r="AF57" s="7"/>
      <c r="AG57" s="7"/>
      <c r="AH57" s="7"/>
      <c r="AI57" s="7"/>
      <c r="AJ57" s="7"/>
    </row>
  </sheetData>
  <sheetProtection password="C6AC" sheet="1" objects="1" scenarios="1" formatCells="0" insertHyperlinks="0"/>
  <mergeCells count="636">
    <mergeCell ref="AL20:AU20"/>
    <mergeCell ref="AK5:AU5"/>
    <mergeCell ref="AK4:AU4"/>
    <mergeCell ref="AL21:AU21"/>
    <mergeCell ref="AA3:AJ3"/>
    <mergeCell ref="AA4:AJ4"/>
    <mergeCell ref="AA5:AJ5"/>
    <mergeCell ref="AA6:AJ6"/>
    <mergeCell ref="AA7:AJ7"/>
    <mergeCell ref="AA8:AJ8"/>
    <mergeCell ref="AA9:AJ9"/>
    <mergeCell ref="AA10:AJ10"/>
    <mergeCell ref="AH11:AJ11"/>
    <mergeCell ref="AD12:AG12"/>
    <mergeCell ref="AA13:AJ13"/>
    <mergeCell ref="AA14:AD14"/>
    <mergeCell ref="AE14:AJ14"/>
    <mergeCell ref="AA15:AC15"/>
    <mergeCell ref="AD15:AE15"/>
    <mergeCell ref="AF15:AG15"/>
    <mergeCell ref="AA11:AC11"/>
    <mergeCell ref="AD11:AE11"/>
    <mergeCell ref="AF11:AG11"/>
    <mergeCell ref="AK11:AU11"/>
    <mergeCell ref="X24:Z24"/>
    <mergeCell ref="X25:Z25"/>
    <mergeCell ref="I29:K29"/>
    <mergeCell ref="M23:N23"/>
    <mergeCell ref="M24:N24"/>
    <mergeCell ref="AI34:AJ34"/>
    <mergeCell ref="AI25:AJ25"/>
    <mergeCell ref="AG32:AH32"/>
    <mergeCell ref="AG33:AH33"/>
    <mergeCell ref="AA25:AF25"/>
    <mergeCell ref="AA26:AF26"/>
    <mergeCell ref="AA30:AF30"/>
    <mergeCell ref="AA31:AF31"/>
    <mergeCell ref="AA32:AF32"/>
    <mergeCell ref="AA33:AF33"/>
    <mergeCell ref="AI29:AJ29"/>
    <mergeCell ref="AI30:AJ30"/>
    <mergeCell ref="AI31:AJ31"/>
    <mergeCell ref="AI32:AJ32"/>
    <mergeCell ref="AI33:AJ33"/>
    <mergeCell ref="AI26:AJ26"/>
    <mergeCell ref="AI27:AJ27"/>
    <mergeCell ref="AI28:AJ28"/>
    <mergeCell ref="AA27:AF27"/>
    <mergeCell ref="AA28:AF28"/>
    <mergeCell ref="AA29:AF29"/>
    <mergeCell ref="M29:N29"/>
    <mergeCell ref="P29:Q29"/>
    <mergeCell ref="AA23:AH23"/>
    <mergeCell ref="S24:T24"/>
    <mergeCell ref="V24:W24"/>
    <mergeCell ref="X26:Z26"/>
    <mergeCell ref="X27:Z27"/>
    <mergeCell ref="X28:Z28"/>
    <mergeCell ref="X29:Z29"/>
    <mergeCell ref="M25:N25"/>
    <mergeCell ref="M26:N26"/>
    <mergeCell ref="M27:N27"/>
    <mergeCell ref="M28:N28"/>
    <mergeCell ref="V27:W27"/>
    <mergeCell ref="V28:W28"/>
    <mergeCell ref="V29:W29"/>
    <mergeCell ref="S25:T25"/>
    <mergeCell ref="V25:W25"/>
    <mergeCell ref="S26:T26"/>
    <mergeCell ref="V26:W26"/>
    <mergeCell ref="S27:T27"/>
    <mergeCell ref="S28:T28"/>
    <mergeCell ref="AK31:AU31"/>
    <mergeCell ref="AK32:AU32"/>
    <mergeCell ref="AK33:AU33"/>
    <mergeCell ref="AK34:AU34"/>
    <mergeCell ref="AK35:AU35"/>
    <mergeCell ref="AK36:AU36"/>
    <mergeCell ref="AK37:AU37"/>
    <mergeCell ref="AK29:AU29"/>
    <mergeCell ref="AK30:AU30"/>
    <mergeCell ref="AK40:AU40"/>
    <mergeCell ref="AK41:AU41"/>
    <mergeCell ref="AK42:AU42"/>
    <mergeCell ref="AK43:AU43"/>
    <mergeCell ref="AK44:AU44"/>
    <mergeCell ref="H45:I45"/>
    <mergeCell ref="AK38:AU38"/>
    <mergeCell ref="AK39:AU39"/>
    <mergeCell ref="J41:O41"/>
    <mergeCell ref="J42:O42"/>
    <mergeCell ref="R39:W39"/>
    <mergeCell ref="J40:O40"/>
    <mergeCell ref="H40:I40"/>
    <mergeCell ref="H43:I43"/>
    <mergeCell ref="H44:I44"/>
    <mergeCell ref="AK45:BU45"/>
    <mergeCell ref="Y30:Z30"/>
    <mergeCell ref="AA43:AG43"/>
    <mergeCell ref="AA44:AG44"/>
    <mergeCell ref="AA45:AG45"/>
    <mergeCell ref="AK22:AU22"/>
    <mergeCell ref="AK23:AU23"/>
    <mergeCell ref="AK24:AU24"/>
    <mergeCell ref="AK25:AU25"/>
    <mergeCell ref="AK26:AU26"/>
    <mergeCell ref="AK27:AU27"/>
    <mergeCell ref="AK28:AU28"/>
    <mergeCell ref="AA34:AF34"/>
    <mergeCell ref="AG34:AH34"/>
    <mergeCell ref="Y40:Z40"/>
    <mergeCell ref="Y41:Z41"/>
    <mergeCell ref="AG25:AH25"/>
    <mergeCell ref="AG26:AH26"/>
    <mergeCell ref="AG27:AH27"/>
    <mergeCell ref="AG28:AH28"/>
    <mergeCell ref="AG29:AH29"/>
    <mergeCell ref="AG30:AH30"/>
    <mergeCell ref="AG31:AH31"/>
    <mergeCell ref="AI23:AJ23"/>
    <mergeCell ref="AI24:AJ24"/>
    <mergeCell ref="AK12:AU12"/>
    <mergeCell ref="AK13:AU13"/>
    <mergeCell ref="AK14:AU14"/>
    <mergeCell ref="AK15:AU15"/>
    <mergeCell ref="AK16:AU16"/>
    <mergeCell ref="AK17:AU17"/>
    <mergeCell ref="AK18:AU18"/>
    <mergeCell ref="AK19:AU19"/>
    <mergeCell ref="AK6:AU6"/>
    <mergeCell ref="AK7:AU7"/>
    <mergeCell ref="AK8:AU8"/>
    <mergeCell ref="AK9:AU9"/>
    <mergeCell ref="AK10:AU10"/>
    <mergeCell ref="AK3:AU3"/>
    <mergeCell ref="AK1:AU1"/>
    <mergeCell ref="AK2:AU2"/>
    <mergeCell ref="BH2:BU2"/>
    <mergeCell ref="BE2:BG2"/>
    <mergeCell ref="AV2:BD2"/>
    <mergeCell ref="BP1:BU1"/>
    <mergeCell ref="BM1:BO1"/>
    <mergeCell ref="BH1:BL1"/>
    <mergeCell ref="BE1:BG1"/>
    <mergeCell ref="AV1:BD1"/>
    <mergeCell ref="AV44:BG44"/>
    <mergeCell ref="BH44:BI44"/>
    <mergeCell ref="BJ44:BL44"/>
    <mergeCell ref="BM44:BO44"/>
    <mergeCell ref="BP44:BU44"/>
    <mergeCell ref="AV42:BG42"/>
    <mergeCell ref="BH42:BI42"/>
    <mergeCell ref="BJ42:BL42"/>
    <mergeCell ref="BM42:BO42"/>
    <mergeCell ref="BP3:BU3"/>
    <mergeCell ref="BM3:BO3"/>
    <mergeCell ref="BJ3:BL3"/>
    <mergeCell ref="BH3:BI3"/>
    <mergeCell ref="AV3:BG3"/>
    <mergeCell ref="AV5:BG5"/>
    <mergeCell ref="BH5:BI5"/>
    <mergeCell ref="BJ5:BL5"/>
    <mergeCell ref="BM5:BO5"/>
    <mergeCell ref="BP5:BU5"/>
    <mergeCell ref="BP42:BU42"/>
    <mergeCell ref="AV43:BG43"/>
    <mergeCell ref="BH43:BI43"/>
    <mergeCell ref="BJ43:BL43"/>
    <mergeCell ref="BM43:BO43"/>
    <mergeCell ref="BP43:BU43"/>
    <mergeCell ref="AV40:BG40"/>
    <mergeCell ref="BH40:BI40"/>
    <mergeCell ref="BJ40:BL40"/>
    <mergeCell ref="BM40:BO40"/>
    <mergeCell ref="BP40:BU40"/>
    <mergeCell ref="AV41:BG41"/>
    <mergeCell ref="BH41:BI41"/>
    <mergeCell ref="BJ41:BL41"/>
    <mergeCell ref="BM41:BO41"/>
    <mergeCell ref="BP41:BU41"/>
    <mergeCell ref="AV38:BG38"/>
    <mergeCell ref="BH38:BI38"/>
    <mergeCell ref="BJ38:BL38"/>
    <mergeCell ref="BM38:BO38"/>
    <mergeCell ref="BP38:BU38"/>
    <mergeCell ref="AV39:BG39"/>
    <mergeCell ref="BH39:BI39"/>
    <mergeCell ref="BJ39:BL39"/>
    <mergeCell ref="BM39:BO39"/>
    <mergeCell ref="BP39:BU39"/>
    <mergeCell ref="AV36:BG36"/>
    <mergeCell ref="BH36:BI36"/>
    <mergeCell ref="BJ36:BL36"/>
    <mergeCell ref="BM36:BO36"/>
    <mergeCell ref="BP36:BU36"/>
    <mergeCell ref="AV37:BG37"/>
    <mergeCell ref="BH37:BI37"/>
    <mergeCell ref="BJ37:BL37"/>
    <mergeCell ref="BM37:BO37"/>
    <mergeCell ref="BP37:BU37"/>
    <mergeCell ref="AV34:BG34"/>
    <mergeCell ref="BH34:BI34"/>
    <mergeCell ref="BJ34:BL34"/>
    <mergeCell ref="BM34:BO34"/>
    <mergeCell ref="BP34:BU34"/>
    <mergeCell ref="AV35:BG35"/>
    <mergeCell ref="BH35:BI35"/>
    <mergeCell ref="BJ35:BL35"/>
    <mergeCell ref="BM35:BO35"/>
    <mergeCell ref="BP35:BU35"/>
    <mergeCell ref="AV32:BG32"/>
    <mergeCell ref="BH32:BI32"/>
    <mergeCell ref="BJ32:BL32"/>
    <mergeCell ref="BM32:BO32"/>
    <mergeCell ref="BP32:BU32"/>
    <mergeCell ref="AV33:BG33"/>
    <mergeCell ref="BH33:BI33"/>
    <mergeCell ref="BJ33:BL33"/>
    <mergeCell ref="BM33:BO33"/>
    <mergeCell ref="BP33:BU33"/>
    <mergeCell ref="AV30:BG30"/>
    <mergeCell ref="BH30:BI30"/>
    <mergeCell ref="BJ30:BL30"/>
    <mergeCell ref="BM30:BO30"/>
    <mergeCell ref="BP30:BU30"/>
    <mergeCell ref="AV31:BG31"/>
    <mergeCell ref="BH31:BI31"/>
    <mergeCell ref="BJ31:BL31"/>
    <mergeCell ref="BM31:BO31"/>
    <mergeCell ref="BP31:BU31"/>
    <mergeCell ref="BJ27:BL27"/>
    <mergeCell ref="BM27:BO27"/>
    <mergeCell ref="BP27:BU27"/>
    <mergeCell ref="AV28:BG28"/>
    <mergeCell ref="BH28:BI28"/>
    <mergeCell ref="BJ28:BL28"/>
    <mergeCell ref="BM28:BO28"/>
    <mergeCell ref="BP28:BU28"/>
    <mergeCell ref="AV29:BG29"/>
    <mergeCell ref="BH29:BI29"/>
    <mergeCell ref="BJ29:BL29"/>
    <mergeCell ref="BM29:BO29"/>
    <mergeCell ref="BP29:BU29"/>
    <mergeCell ref="AV27:BG27"/>
    <mergeCell ref="BH27:BI27"/>
    <mergeCell ref="BP22:BU22"/>
    <mergeCell ref="AV23:BG23"/>
    <mergeCell ref="BH23:BI23"/>
    <mergeCell ref="BJ23:BL23"/>
    <mergeCell ref="BM23:BO23"/>
    <mergeCell ref="BP23:BU23"/>
    <mergeCell ref="AV24:BG24"/>
    <mergeCell ref="BH24:BI24"/>
    <mergeCell ref="BJ24:BL24"/>
    <mergeCell ref="BM24:BO24"/>
    <mergeCell ref="BP24:BU24"/>
    <mergeCell ref="BP19:BU19"/>
    <mergeCell ref="AV20:BG20"/>
    <mergeCell ref="BH20:BI20"/>
    <mergeCell ref="BJ20:BL20"/>
    <mergeCell ref="BM20:BO20"/>
    <mergeCell ref="BP20:BU20"/>
    <mergeCell ref="AV21:BG21"/>
    <mergeCell ref="BH21:BI21"/>
    <mergeCell ref="BJ21:BL21"/>
    <mergeCell ref="BM21:BO21"/>
    <mergeCell ref="BP21:BU21"/>
    <mergeCell ref="BH19:BI19"/>
    <mergeCell ref="BJ19:BL19"/>
    <mergeCell ref="BP16:BU16"/>
    <mergeCell ref="AV17:BG17"/>
    <mergeCell ref="BH17:BI17"/>
    <mergeCell ref="BJ17:BL17"/>
    <mergeCell ref="BM17:BO17"/>
    <mergeCell ref="BP17:BU17"/>
    <mergeCell ref="AV18:BG18"/>
    <mergeCell ref="BH18:BI18"/>
    <mergeCell ref="BJ18:BL18"/>
    <mergeCell ref="BM18:BO18"/>
    <mergeCell ref="BP18:BU18"/>
    <mergeCell ref="BP13:BU13"/>
    <mergeCell ref="AV14:BG14"/>
    <mergeCell ref="BH14:BI14"/>
    <mergeCell ref="BJ14:BL14"/>
    <mergeCell ref="BM14:BO14"/>
    <mergeCell ref="BP14:BU14"/>
    <mergeCell ref="AV15:BG15"/>
    <mergeCell ref="BH15:BI15"/>
    <mergeCell ref="BJ15:BL15"/>
    <mergeCell ref="BM15:BO15"/>
    <mergeCell ref="BP15:BU15"/>
    <mergeCell ref="AV11:BG11"/>
    <mergeCell ref="BH11:BI11"/>
    <mergeCell ref="BJ11:BL11"/>
    <mergeCell ref="BM11:BO11"/>
    <mergeCell ref="BP11:BU11"/>
    <mergeCell ref="AV12:BG12"/>
    <mergeCell ref="BH12:BI12"/>
    <mergeCell ref="BJ12:BL12"/>
    <mergeCell ref="BM12:BO12"/>
    <mergeCell ref="BP12:BU12"/>
    <mergeCell ref="AV9:BG9"/>
    <mergeCell ref="BH9:BI9"/>
    <mergeCell ref="BJ9:BL9"/>
    <mergeCell ref="BM9:BO9"/>
    <mergeCell ref="BP9:BU9"/>
    <mergeCell ref="AV10:BG10"/>
    <mergeCell ref="BH10:BI10"/>
    <mergeCell ref="BJ10:BL10"/>
    <mergeCell ref="BM10:BO10"/>
    <mergeCell ref="BP10:BU10"/>
    <mergeCell ref="AV7:BG7"/>
    <mergeCell ref="BH7:BI7"/>
    <mergeCell ref="BJ7:BL7"/>
    <mergeCell ref="BM7:BO7"/>
    <mergeCell ref="BP7:BU7"/>
    <mergeCell ref="AV8:BG8"/>
    <mergeCell ref="BH8:BI8"/>
    <mergeCell ref="BJ8:BL8"/>
    <mergeCell ref="BM8:BO8"/>
    <mergeCell ref="BP8:BU8"/>
    <mergeCell ref="BP4:BU4"/>
    <mergeCell ref="BM4:BO4"/>
    <mergeCell ref="BJ4:BL4"/>
    <mergeCell ref="BH4:BI4"/>
    <mergeCell ref="AV4:BG4"/>
    <mergeCell ref="AV6:BG6"/>
    <mergeCell ref="BH6:BI6"/>
    <mergeCell ref="BJ6:BL6"/>
    <mergeCell ref="BM6:BO6"/>
    <mergeCell ref="BP6:BU6"/>
    <mergeCell ref="A27:F27"/>
    <mergeCell ref="G27:H27"/>
    <mergeCell ref="A28:F28"/>
    <mergeCell ref="G28:H28"/>
    <mergeCell ref="A29:F29"/>
    <mergeCell ref="G29:H29"/>
    <mergeCell ref="G22:H22"/>
    <mergeCell ref="A23:F23"/>
    <mergeCell ref="G23:H23"/>
    <mergeCell ref="A24:F24"/>
    <mergeCell ref="G24:H24"/>
    <mergeCell ref="A25:F25"/>
    <mergeCell ref="G25:H25"/>
    <mergeCell ref="A26:F26"/>
    <mergeCell ref="G26:H26"/>
    <mergeCell ref="BM25:BO25"/>
    <mergeCell ref="BP25:BU25"/>
    <mergeCell ref="BM26:BO26"/>
    <mergeCell ref="BP26:BU26"/>
    <mergeCell ref="BM13:BO13"/>
    <mergeCell ref="BM16:BO16"/>
    <mergeCell ref="BM19:BO19"/>
    <mergeCell ref="BM22:BO22"/>
    <mergeCell ref="AV22:BG22"/>
    <mergeCell ref="BH22:BI22"/>
    <mergeCell ref="BJ22:BL22"/>
    <mergeCell ref="AV25:BG25"/>
    <mergeCell ref="BH25:BI25"/>
    <mergeCell ref="BJ25:BL25"/>
    <mergeCell ref="AV26:BG26"/>
    <mergeCell ref="BH26:BI26"/>
    <mergeCell ref="BJ26:BL26"/>
    <mergeCell ref="AV13:BG13"/>
    <mergeCell ref="BH13:BI13"/>
    <mergeCell ref="BJ13:BL13"/>
    <mergeCell ref="AV16:BG16"/>
    <mergeCell ref="BH16:BI16"/>
    <mergeCell ref="BJ16:BL16"/>
    <mergeCell ref="AV19:BG19"/>
    <mergeCell ref="R30:W30"/>
    <mergeCell ref="A43:F43"/>
    <mergeCell ref="A44:F44"/>
    <mergeCell ref="Y43:Z43"/>
    <mergeCell ref="Y44:Z44"/>
    <mergeCell ref="Y45:Z45"/>
    <mergeCell ref="Y31:Z31"/>
    <mergeCell ref="Y32:Z32"/>
    <mergeCell ref="Y33:Z33"/>
    <mergeCell ref="Y34:Z34"/>
    <mergeCell ref="Y35:Z35"/>
    <mergeCell ref="Y36:Z36"/>
    <mergeCell ref="Y37:Z37"/>
    <mergeCell ref="Y38:Z38"/>
    <mergeCell ref="Y39:Z39"/>
    <mergeCell ref="R40:W40"/>
    <mergeCell ref="R41:W41"/>
    <mergeCell ref="R42:W42"/>
    <mergeCell ref="R43:W43"/>
    <mergeCell ref="R44:W44"/>
    <mergeCell ref="J39:O39"/>
    <mergeCell ref="R37:W37"/>
    <mergeCell ref="R38:W38"/>
    <mergeCell ref="Y42:Z42"/>
    <mergeCell ref="J37:O37"/>
    <mergeCell ref="J38:O38"/>
    <mergeCell ref="A30:F30"/>
    <mergeCell ref="H30:I30"/>
    <mergeCell ref="J30:O30"/>
    <mergeCell ref="A31:F31"/>
    <mergeCell ref="A32:F32"/>
    <mergeCell ref="J32:O32"/>
    <mergeCell ref="J33:O33"/>
    <mergeCell ref="J34:O34"/>
    <mergeCell ref="J35:O35"/>
    <mergeCell ref="A33:F33"/>
    <mergeCell ref="A34:F34"/>
    <mergeCell ref="A35:F35"/>
    <mergeCell ref="J31:O31"/>
    <mergeCell ref="H38:I38"/>
    <mergeCell ref="A41:F41"/>
    <mergeCell ref="A42:F42"/>
    <mergeCell ref="J43:O43"/>
    <mergeCell ref="J44:O44"/>
    <mergeCell ref="J45:O45"/>
    <mergeCell ref="R45:W45"/>
    <mergeCell ref="R31:W31"/>
    <mergeCell ref="R32:W32"/>
    <mergeCell ref="R33:W33"/>
    <mergeCell ref="R34:W34"/>
    <mergeCell ref="R35:W35"/>
    <mergeCell ref="R36:W36"/>
    <mergeCell ref="J36:O36"/>
    <mergeCell ref="A45:F45"/>
    <mergeCell ref="H31:I31"/>
    <mergeCell ref="H32:I32"/>
    <mergeCell ref="H33:I33"/>
    <mergeCell ref="H34:I34"/>
    <mergeCell ref="H35:I35"/>
    <mergeCell ref="H36:I36"/>
    <mergeCell ref="H37:I37"/>
    <mergeCell ref="H41:I41"/>
    <mergeCell ref="H42:I42"/>
    <mergeCell ref="H39:I39"/>
    <mergeCell ref="A40:F40"/>
    <mergeCell ref="A36:F36"/>
    <mergeCell ref="A37:F37"/>
    <mergeCell ref="A38:F38"/>
    <mergeCell ref="A39:F39"/>
    <mergeCell ref="AI44:AJ44"/>
    <mergeCell ref="AI45:AJ45"/>
    <mergeCell ref="AA35:AG35"/>
    <mergeCell ref="AI35:AJ35"/>
    <mergeCell ref="AA36:AG36"/>
    <mergeCell ref="AA37:AG37"/>
    <mergeCell ref="AA38:AG38"/>
    <mergeCell ref="AA39:AG39"/>
    <mergeCell ref="AA40:AG40"/>
    <mergeCell ref="AA41:AG41"/>
    <mergeCell ref="AA42:AG42"/>
    <mergeCell ref="AI36:AJ36"/>
    <mergeCell ref="AI37:AJ37"/>
    <mergeCell ref="AI38:AJ38"/>
    <mergeCell ref="AI39:AJ39"/>
    <mergeCell ref="AI40:AJ40"/>
    <mergeCell ref="AI41:AJ41"/>
    <mergeCell ref="AI42:AJ42"/>
    <mergeCell ref="AI43:AJ43"/>
    <mergeCell ref="S20:T20"/>
    <mergeCell ref="V20:W20"/>
    <mergeCell ref="S21:T21"/>
    <mergeCell ref="V21:W21"/>
    <mergeCell ref="S22:T22"/>
    <mergeCell ref="V22:W22"/>
    <mergeCell ref="S23:T23"/>
    <mergeCell ref="V23:W23"/>
    <mergeCell ref="AI20:AJ20"/>
    <mergeCell ref="AD20:AE20"/>
    <mergeCell ref="AA21:AC21"/>
    <mergeCell ref="AF21:AH21"/>
    <mergeCell ref="AD21:AE21"/>
    <mergeCell ref="AI21:AJ21"/>
    <mergeCell ref="X20:Z20"/>
    <mergeCell ref="X21:Z21"/>
    <mergeCell ref="X22:Z22"/>
    <mergeCell ref="X23:Z23"/>
    <mergeCell ref="S29:T29"/>
    <mergeCell ref="U19:W19"/>
    <mergeCell ref="R19:T19"/>
    <mergeCell ref="L18:N18"/>
    <mergeCell ref="I23:K23"/>
    <mergeCell ref="I24:K24"/>
    <mergeCell ref="I25:K25"/>
    <mergeCell ref="I26:K26"/>
    <mergeCell ref="I27:K27"/>
    <mergeCell ref="I28:K28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M20:N20"/>
    <mergeCell ref="M21:N21"/>
    <mergeCell ref="M22:N22"/>
    <mergeCell ref="I20:K20"/>
    <mergeCell ref="I21:K21"/>
    <mergeCell ref="I22:K22"/>
    <mergeCell ref="A19:F19"/>
    <mergeCell ref="G17:H19"/>
    <mergeCell ref="A20:F20"/>
    <mergeCell ref="G20:H20"/>
    <mergeCell ref="A21:F21"/>
    <mergeCell ref="G21:H21"/>
    <mergeCell ref="A22:F22"/>
    <mergeCell ref="L19:N19"/>
    <mergeCell ref="O19:Q19"/>
    <mergeCell ref="I17:K17"/>
    <mergeCell ref="I18:K18"/>
    <mergeCell ref="I19:K19"/>
    <mergeCell ref="L17:N17"/>
    <mergeCell ref="O17:Q17"/>
    <mergeCell ref="X18:Z18"/>
    <mergeCell ref="U18:W18"/>
    <mergeCell ref="X19:Z19"/>
    <mergeCell ref="R12:T12"/>
    <mergeCell ref="U12:V12"/>
    <mergeCell ref="W12:Z12"/>
    <mergeCell ref="R18:T18"/>
    <mergeCell ref="R17:T17"/>
    <mergeCell ref="U17:W17"/>
    <mergeCell ref="A17:F17"/>
    <mergeCell ref="A18:F18"/>
    <mergeCell ref="L16:N16"/>
    <mergeCell ref="I16:K16"/>
    <mergeCell ref="I15:N15"/>
    <mergeCell ref="P15:Q15"/>
    <mergeCell ref="Y15:Z15"/>
    <mergeCell ref="R15:W15"/>
    <mergeCell ref="O18:Q18"/>
    <mergeCell ref="AF16:AJ16"/>
    <mergeCell ref="X14:Z14"/>
    <mergeCell ref="AA17:AB17"/>
    <mergeCell ref="AC17:AE17"/>
    <mergeCell ref="AF17:AG17"/>
    <mergeCell ref="L13:T13"/>
    <mergeCell ref="U13:V13"/>
    <mergeCell ref="X13:Y13"/>
    <mergeCell ref="X16:Z16"/>
    <mergeCell ref="U16:W16"/>
    <mergeCell ref="R16:T16"/>
    <mergeCell ref="O16:Q16"/>
    <mergeCell ref="X17:Z17"/>
    <mergeCell ref="P7:T7"/>
    <mergeCell ref="P6:T6"/>
    <mergeCell ref="U5:W5"/>
    <mergeCell ref="X5:Z5"/>
    <mergeCell ref="P5:T5"/>
    <mergeCell ref="U6:W6"/>
    <mergeCell ref="V7:Z7"/>
    <mergeCell ref="X6:Z6"/>
    <mergeCell ref="P8:Z8"/>
    <mergeCell ref="P9:Z9"/>
    <mergeCell ref="P3:U3"/>
    <mergeCell ref="Y4:Z4"/>
    <mergeCell ref="I12:K12"/>
    <mergeCell ref="L12:N12"/>
    <mergeCell ref="O12:Q12"/>
    <mergeCell ref="G5:H5"/>
    <mergeCell ref="G6:H6"/>
    <mergeCell ref="G11:H11"/>
    <mergeCell ref="W11:Z11"/>
    <mergeCell ref="G3:H3"/>
    <mergeCell ref="G4:H4"/>
    <mergeCell ref="V4:X4"/>
    <mergeCell ref="P4:U4"/>
    <mergeCell ref="P10:Z10"/>
    <mergeCell ref="I8:O8"/>
    <mergeCell ref="I9:O9"/>
    <mergeCell ref="I10:O10"/>
    <mergeCell ref="I11:J11"/>
    <mergeCell ref="K11:M11"/>
    <mergeCell ref="N11:Q11"/>
    <mergeCell ref="I7:O7"/>
    <mergeCell ref="R11:T11"/>
    <mergeCell ref="U11:V11"/>
    <mergeCell ref="A11:E11"/>
    <mergeCell ref="I5:O5"/>
    <mergeCell ref="I6:O6"/>
    <mergeCell ref="T1:W1"/>
    <mergeCell ref="X1:AJ1"/>
    <mergeCell ref="F1:S1"/>
    <mergeCell ref="G12:H12"/>
    <mergeCell ref="AA20:AC20"/>
    <mergeCell ref="AF20:AH20"/>
    <mergeCell ref="P2:Z2"/>
    <mergeCell ref="AA2:AJ2"/>
    <mergeCell ref="I2:O2"/>
    <mergeCell ref="I3:O3"/>
    <mergeCell ref="I4:O4"/>
    <mergeCell ref="A13:F13"/>
    <mergeCell ref="G13:H13"/>
    <mergeCell ref="A12:E12"/>
    <mergeCell ref="Y3:Z3"/>
    <mergeCell ref="V3:X3"/>
    <mergeCell ref="A2:H2"/>
    <mergeCell ref="A1:E1"/>
    <mergeCell ref="A4:E4"/>
    <mergeCell ref="A5:E5"/>
    <mergeCell ref="A3:E3"/>
    <mergeCell ref="G7:H7"/>
    <mergeCell ref="G8:H8"/>
    <mergeCell ref="G9:H9"/>
    <mergeCell ref="G10:H10"/>
    <mergeCell ref="A6:E6"/>
    <mergeCell ref="A7:E7"/>
    <mergeCell ref="A8:E8"/>
    <mergeCell ref="A9:E9"/>
    <mergeCell ref="A10:E10"/>
    <mergeCell ref="AA24:AH24"/>
    <mergeCell ref="A14:H14"/>
    <mergeCell ref="A15:H15"/>
    <mergeCell ref="AH12:AJ12"/>
    <mergeCell ref="AA12:AC12"/>
    <mergeCell ref="AH17:AJ17"/>
    <mergeCell ref="AA18:AC18"/>
    <mergeCell ref="AD18:AE18"/>
    <mergeCell ref="AF18:AH18"/>
    <mergeCell ref="AI18:AJ18"/>
    <mergeCell ref="AA19:AC19"/>
    <mergeCell ref="AD19:AE19"/>
    <mergeCell ref="AF19:AH19"/>
    <mergeCell ref="AI19:AJ19"/>
    <mergeCell ref="AA22:AH22"/>
    <mergeCell ref="AI22:AJ22"/>
    <mergeCell ref="I13:K13"/>
    <mergeCell ref="AI15:AJ15"/>
    <mergeCell ref="S14:T14"/>
    <mergeCell ref="I14:R14"/>
    <mergeCell ref="A16:D16"/>
    <mergeCell ref="E16:H16"/>
    <mergeCell ref="U14:W14"/>
    <mergeCell ref="AA16:AE16"/>
  </mergeCells>
  <phoneticPr fontId="3" type="noConversion"/>
  <conditionalFormatting sqref="AI22:AJ22 AI23:AI24">
    <cfRule type="cellIs" dxfId="50" priority="135" operator="lessThan">
      <formula>0</formula>
    </cfRule>
  </conditionalFormatting>
  <conditionalFormatting sqref="G3:G11 H3">
    <cfRule type="cellIs" dxfId="49" priority="80" operator="greaterThan">
      <formula>INDEX(fajimaximumok,,ROW()-1)</formula>
    </cfRule>
    <cfRule type="cellIs" dxfId="48" priority="81" operator="lessThan">
      <formula>INDEX(fajiminimumok,,ROW()-1)</formula>
    </cfRule>
  </conditionalFormatting>
  <conditionalFormatting sqref="G12">
    <cfRule type="cellIs" dxfId="47" priority="78" operator="greaterThan">
      <formula>INDEX(fajimaximumok,,ROW()-11)</formula>
    </cfRule>
    <cfRule type="cellIs" dxfId="46" priority="79" operator="lessThan">
      <formula>INDEX(fajiminimumok,,ROW()-11)</formula>
    </cfRule>
  </conditionalFormatting>
  <conditionalFormatting sqref="G13:H13">
    <cfRule type="cellIs" dxfId="45" priority="77" operator="lessThanOrEqual">
      <formula>0</formula>
    </cfRule>
  </conditionalFormatting>
  <conditionalFormatting sqref="AD19">
    <cfRule type="expression" dxfId="44" priority="74">
      <formula>AND($AD$19&lt;&gt;0,(($AD$19+$AI$19)&gt;MaxPszi))</formula>
    </cfRule>
  </conditionalFormatting>
  <conditionalFormatting sqref="BM4:BO44">
    <cfRule type="cellIs" dxfId="43" priority="72" operator="equal">
      <formula>0</formula>
    </cfRule>
  </conditionalFormatting>
  <conditionalFormatting sqref="P5:T5">
    <cfRule type="expression" dxfId="42" priority="66">
      <formula>AND(választott_kaszt_2="",többes_kaszt&lt;&gt;"")</formula>
    </cfRule>
    <cfRule type="expression" dxfId="41" priority="67">
      <formula>AND(választott_kaszt_2&lt;&gt;"",többes_kaszt="")</formula>
    </cfRule>
  </conditionalFormatting>
  <conditionalFormatting sqref="P6:T6">
    <cfRule type="expression" dxfId="40" priority="62">
      <formula>AND(többes_kaszt=váltott_kaszt,váltás_kezdet&lt;&gt;(kaszt_szint_1+3))</formula>
    </cfRule>
    <cfRule type="expression" dxfId="39" priority="63">
      <formula>AND(többes_kaszt=iker_kaszt,váltás_kezdet&gt;kaszt_szint_1)</formula>
    </cfRule>
    <cfRule type="expression" dxfId="38" priority="64">
      <formula>AND(váltás_kezdet&gt;0,többes_kaszt="")</formula>
    </cfRule>
    <cfRule type="expression" dxfId="37" priority="65">
      <formula>AND(váltás_kezdet="",többes_kaszt&lt;&gt;"")</formula>
    </cfRule>
  </conditionalFormatting>
  <conditionalFormatting sqref="P4:U4">
    <cfRule type="expression" dxfId="36" priority="56">
      <formula>AND(választott_kaszt_2="",kaszt_szint_2&lt;&gt;0)</formula>
    </cfRule>
    <cfRule type="expression" dxfId="35" priority="61">
      <formula>AND(választott_kaszt_1&lt;&gt;"",(LOWER(választott_kaszt_1)=LOWER(választott_kaszt_2)))</formula>
    </cfRule>
  </conditionalFormatting>
  <conditionalFormatting sqref="K11:M11">
    <cfRule type="cellIs" dxfId="34" priority="60" operator="notBetween">
      <formula>kormin</formula>
      <formula>kormax</formula>
    </cfRule>
  </conditionalFormatting>
  <conditionalFormatting sqref="V7:Z7">
    <cfRule type="expression" dxfId="33" priority="59">
      <formula>AND(választott_faj="",választott_kaszt_1&lt;&gt;"")</formula>
    </cfRule>
  </conditionalFormatting>
  <conditionalFormatting sqref="Z13">
    <cfRule type="expression" dxfId="32" priority="57">
      <formula>(választottpáncél="")</formula>
    </cfRule>
  </conditionalFormatting>
  <conditionalFormatting sqref="P3:U3">
    <cfRule type="expression" dxfId="31" priority="55">
      <formula>AND(választott_kaszt_1="",kaszt_szint_1&lt;&gt;0)</formula>
    </cfRule>
  </conditionalFormatting>
  <conditionalFormatting sqref="Y3:Z3">
    <cfRule type="expression" dxfId="30" priority="54">
      <formula>AND(kaszt_szint_1=0,választott_kaszt_1&lt;&gt;"")</formula>
    </cfRule>
  </conditionalFormatting>
  <conditionalFormatting sqref="Y4:Z4">
    <cfRule type="expression" dxfId="29" priority="53">
      <formula>AND(kaszt_szint_2=0,választott_kaszt_2&lt;&gt;"")</formula>
    </cfRule>
  </conditionalFormatting>
  <conditionalFormatting sqref="F3:F12">
    <cfRule type="expression" dxfId="28" priority="51">
      <formula>IF(választott_kaszt_2="",FALSE,(INDEX(tulajdonságok,ROW()-2,1)&lt;SUMIFS(INDEX(dobások,,3),INDEX(dobások,,1),VLOOKUP(választott_kaszt_2,kasztok,62+ROW(),FALSE))))</formula>
    </cfRule>
  </conditionalFormatting>
  <conditionalFormatting sqref="L18:W18">
    <cfRule type="expression" dxfId="27" priority="38">
      <formula>(SUM(osztható_HM)-SUM(felosztottHM))&lt;0</formula>
    </cfRule>
  </conditionalFormatting>
  <conditionalFormatting sqref="L18:N18">
    <cfRule type="cellIs" dxfId="26" priority="37" operator="notBetween">
      <formula>kötelező_KÉ</formula>
      <formula>SUM(osztható_HM)</formula>
    </cfRule>
  </conditionalFormatting>
  <conditionalFormatting sqref="O18:Q18">
    <cfRule type="cellIs" dxfId="25" priority="36" operator="notBetween">
      <formula>kötelező_TÉ</formula>
      <formula>SUM(osztható_HM)</formula>
    </cfRule>
  </conditionalFormatting>
  <conditionalFormatting sqref="R18:T18">
    <cfRule type="cellIs" dxfId="24" priority="35" operator="notBetween">
      <formula>kötelező_VÉ</formula>
      <formula>SUM(osztható_HM)</formula>
    </cfRule>
  </conditionalFormatting>
  <conditionalFormatting sqref="U18:W18">
    <cfRule type="cellIs" dxfId="23" priority="34" operator="notBetween">
      <formula>kötelező_CÉ</formula>
      <formula>SUM(osztható_HM)</formula>
    </cfRule>
  </conditionalFormatting>
  <conditionalFormatting sqref="A15:H15">
    <cfRule type="expression" dxfId="22" priority="32">
      <formula>AND(többes_kaszt&lt;&gt;iker_kaszt,HM_kaszt&lt;&gt;"")</formula>
    </cfRule>
    <cfRule type="expression" dxfId="21" priority="33">
      <formula>AND(többes_kaszt=iker_kaszt,HM_kaszt&lt;&gt;választott_kaszt_1,HM_kaszt&lt;&gt;választott_kaszt_2)</formula>
    </cfRule>
  </conditionalFormatting>
  <conditionalFormatting sqref="AI19:AJ19">
    <cfRule type="expression" dxfId="20" priority="31">
      <formula>AND($AI$19&lt;&gt;0,(($AD$19+$AI$19)&gt;MaxPszi))</formula>
    </cfRule>
  </conditionalFormatting>
  <conditionalFormatting sqref="AH12:AJ12">
    <cfRule type="cellIs" dxfId="19" priority="21" operator="equal">
      <formula>0</formula>
    </cfRule>
  </conditionalFormatting>
  <conditionalFormatting sqref="O15:Q15">
    <cfRule type="expression" dxfId="18" priority="4">
      <formula>IF(tanultMfkaszt=0,FALSE,INDEX(pszi_választás,tanultMfkaszt,5)=0)</formula>
    </cfRule>
    <cfRule type="expression" dxfId="17" priority="13">
      <formula>OR(AND(tanultAfkaszt&lt;&gt;0,tanultAfTSZ=0),AND(tanultAfkaszt=0,tanultAfTSZ&lt;&gt;0))</formula>
    </cfRule>
    <cfRule type="expression" dxfId="16" priority="15">
      <formula>IF(tanultAfkaszt=0,FALSE,INDEX(választott_kasztok,tanultAfkaszt,1)="")</formula>
    </cfRule>
    <cfRule type="expression" dxfId="15" priority="16">
      <formula>IF(tanultAfkaszt=0,FALSE,INDEX(pszi_választás,tanultAfkaszt,5)&lt;tanultAfTSZ)</formula>
    </cfRule>
    <cfRule type="expression" dxfId="14" priority="17">
      <formula>IF(tanultAfkaszt=0,FALSE,INDEX(pszi_választás,tanultAfkaszt,3)&lt;&gt;pyarroni)</formula>
    </cfRule>
  </conditionalFormatting>
  <conditionalFormatting sqref="P15:Q15">
    <cfRule type="expression" dxfId="13" priority="12">
      <formula>IF(tanultAfkaszt=0,FALSE,INDEX(választott_kasztok,tanultAfkaszt,10)&lt;tanultAfTSZ)</formula>
    </cfRule>
  </conditionalFormatting>
  <conditionalFormatting sqref="X15:Z15">
    <cfRule type="expression" dxfId="12" priority="2">
      <formula>IF(tanultMfkaszt=0,FALSE,INDEX(pszi_választás,tanultMfkaszt,4)&lt;tanultMfTSZ)</formula>
    </cfRule>
    <cfRule type="expression" dxfId="11" priority="3">
      <formula>IF(tanultMfkaszt=0,FALSE,INDEX(pszi_választás,tanultMfkaszt,3)&lt;&gt;pyarroni)</formula>
    </cfRule>
    <cfRule type="expression" dxfId="10" priority="10">
      <formula>OR(AND(tanultMfkaszt&lt;&gt;0,tanultMfTSZ=0),AND(tanultMfkaszt=0,tanultMfTSZ&lt;&gt;0))</formula>
    </cfRule>
    <cfRule type="expression" dxfId="9" priority="11">
      <formula>IF(tanultMfkaszt=0,FALSE,INDEX(választott_kasztok,tanultMfkaszt,1)="")</formula>
    </cfRule>
  </conditionalFormatting>
  <conditionalFormatting sqref="Y15:Z15">
    <cfRule type="expression" dxfId="8" priority="6">
      <formula>IF(tanultMfkaszt=0,FALSE,INDEX(választott_kasztok,tanultMfkaszt,10)&lt;tanultMfTSZ)</formula>
    </cfRule>
    <cfRule type="expression" dxfId="7" priority="8">
      <formula>AND(tanultMfkaszt=tanultAfkaszt,tanultMfTSZ&lt;tanultAfTSZ)</formula>
    </cfRule>
    <cfRule type="expression" dxfId="6" priority="9">
      <formula>IF(tanultMfkaszt=0,FALSE,INDEX(választott_kasztok,tanultMfkaszt,10)&lt;tanultMfTSZ)</formula>
    </cfRule>
  </conditionalFormatting>
  <conditionalFormatting sqref="X15">
    <cfRule type="expression" dxfId="5" priority="7">
      <formula>AND(tanultMfkaszt&lt;tanultAfkaszt,tanultMfTSZ&gt;0)</formula>
    </cfRule>
  </conditionalFormatting>
  <dataValidations disablePrompts="1" count="29">
    <dataValidation type="list" showInputMessage="1" showErrorMessage="1" errorTitle="Hiba" error="Üres vagy listából választandó!" sqref="X5:Z5">
      <formula1>eldontendo</formula1>
    </dataValidation>
    <dataValidation type="list" allowBlank="1" showInputMessage="1" showErrorMessage="1" sqref="S14:T14">
      <formula1>eldontendo</formula1>
    </dataValidation>
    <dataValidation type="whole" showInputMessage="1" showErrorMessage="1" error="Üres vagy a megjegyzés szerint kell megadni!" sqref="P6:T6">
      <formula1>IF(többes_kaszt=iker_kaszt,0,IF(többes_kaszt=váltott_kaszt,kaszt_szint_1+3,0))</formula1>
      <formula2>IF(többes_kaszt=iker_kaszt,MAX(1,kaszt_szint_1),IF(többes_kaszt=váltott_kaszt,kaszt_szint_1+3,1))</formula2>
    </dataValidation>
    <dataValidation type="whole" allowBlank="1" showInputMessage="1" showErrorMessage="1" error="Üres vagy 1-20 között!" sqref="Y3:Z4">
      <formula1>1</formula1>
      <formula2>20</formula2>
    </dataValidation>
    <dataValidation type="list" showInputMessage="1" showErrorMessage="1" error="Üres vagy listából választandó!" sqref="P4:U4">
      <formula1>INDEX(kasztok,,1)</formula1>
    </dataValidation>
    <dataValidation type="list" showInputMessage="1" showErrorMessage="1" error="Üres vagy listából választandó!" sqref="X6:Z6">
      <formula1>eldontendo</formula1>
    </dataValidation>
    <dataValidation type="whole" showInputMessage="1" showErrorMessage="1" error="Üres vagy 0 és a max. pszi közé kell esnie!" sqref="AD19:AE19 AI19:AJ19">
      <formula1>0</formula1>
      <formula2>MaxPszi</formula2>
    </dataValidation>
    <dataValidation type="list" allowBlank="1" showInputMessage="1" showErrorMessage="1" error="Üres vagy listából választandó!_x000a_" sqref="P5:T5">
      <formula1>ikerváltott</formula1>
    </dataValidation>
    <dataValidation type="whole" showInputMessage="1" showErrorMessage="1" error="Üres vagy min. Af megszerése, max. a megfelelő kasztod max. szintje!" sqref="Y15:Z15">
      <formula1>IF(tanultMfkaszt=tanultAfkaszt,tanultAfTSZ,1)</formula1>
      <formula2>IF(tanultAfkaszt&lt;=1,MAX(kaszt_szint_1,IF(többes_kaszt=váltott_kaszt,váltás_kezdet,1)),kaszt_szint_2)</formula2>
    </dataValidation>
    <dataValidation type="list" showInputMessage="1" showErrorMessage="1" error="Üres vagy listából választandó!" sqref="AA36:AG42">
      <formula1>nyelvek</formula1>
    </dataValidation>
    <dataValidation type="list" showInputMessage="1" showErrorMessage="1" error="Üres vagy listából választandó!" sqref="AA44:AG45">
      <formula1>ősinyelvek</formula1>
    </dataValidation>
    <dataValidation type="whole" showInputMessage="1" showErrorMessage="1" error="Üres vagy a fajnak megfelelő min. és max. közé kell esnie!" sqref="K11:M11">
      <formula1>kormin</formula1>
      <formula2>kormax</formula2>
    </dataValidation>
    <dataValidation type="list" showInputMessage="1" showErrorMessage="1" error="Üres vagy listából választandó!" sqref="V7:Z7">
      <formula1>INDEX(fajok,,1)</formula1>
    </dataValidation>
    <dataValidation type="list" showInputMessage="1" showErrorMessage="1" error="Üres vagy listából választandó!" sqref="P7:T7">
      <formula1>INDEX(jellemek,,1)</formula1>
    </dataValidation>
    <dataValidation type="list" allowBlank="1" showInputMessage="1" showErrorMessage="1" error="Üres vagy listából választandó!" sqref="L13:T13">
      <formula1>INDEX(vértek,,1)</formula1>
    </dataValidation>
    <dataValidation type="list" showInputMessage="1" showErrorMessage="1" error="Üres vagy listából választandó!" sqref="A20:F29">
      <formula1>INDEX(fegyverek,,1)</formula1>
    </dataValidation>
    <dataValidation type="whole" showInputMessage="1" showErrorMessage="1" error="Üres vagy legfeljebb a felosztható % mértékig adható meg!" sqref="AI25:AJ34">
      <formula1>0</formula1>
      <formula2>SUMIFS(INDEX(kasztok,,24),INDEX(kasztok,,1),választott_kaszt_1)+SUMIFS(INDEX(kasztok,,24),INDEX(kasztok,,1),választott_kaszt_2)+Kpkonverzió*3</formula2>
    </dataValidation>
    <dataValidation type="whole" showInputMessage="1" showErrorMessage="1" error="Üres vagy legfeljebb a felosztható Kp mértékig adható meg!" sqref="AI23:AJ23">
      <formula1>0</formula1>
      <formula2>SUMIFS(INDEX(kasztok,,22),INDEX(kasztok,,1),választott_kaszt_1)+SUMIFS(INDEX(kasztok,,23),INDEX(kasztok,,1),választott_kaszt_1)+SUMIFS(INDEX(kasztok,,23),INDEX(kasztok,,1),választott_kaszt_2)+MAX(0,ügyesség-10)+MAX(0,intelligencia-10)</formula2>
    </dataValidation>
    <dataValidation type="whole" showInputMessage="1" showErrorMessage="1" error="Kötelező minimum és az osztható HM között kell lennie!" sqref="L18:N18">
      <formula1>kötelező_KÉ</formula1>
      <formula2>SUM(osztható_HM)</formula2>
    </dataValidation>
    <dataValidation type="whole" showInputMessage="1" showErrorMessage="1" error="Kötelező minimum és az osztható HM között kell lennie!" sqref="O18:Q18">
      <formula1>kötelező_TÉ</formula1>
      <formula2>SUM(osztható_HM)</formula2>
    </dataValidation>
    <dataValidation type="whole" showInputMessage="1" showErrorMessage="1" error="Kötelező minimum és az osztható HM között kell lennie!" sqref="R18:T18">
      <formula1>kötelező_VÉ</formula1>
      <formula2>SUM(osztható_HM)</formula2>
    </dataValidation>
    <dataValidation type="whole" showInputMessage="1" showErrorMessage="1" error="Kötelező minimum és az osztható HM között kell lennie!" sqref="U18:W18">
      <formula1>kötelező_CÉ</formula1>
      <formula2>SUM(osztható_HM)</formula2>
    </dataValidation>
    <dataValidation type="list" showInputMessage="1" showErrorMessage="1" error="Iker kasztnál a két kaszt egyike választandó, egyébként üres!" sqref="A15:H15">
      <formula1>INDEX(választott_kasztok,,1)</formula1>
    </dataValidation>
    <dataValidation type="whole" showInputMessage="1" showErrorMessage="1" error="Üres vagy legfeljebb a választott kasztok száma!" sqref="O15">
      <formula1>1</formula1>
      <formula2>IF(választott_kaszt_2="",1,2)</formula2>
    </dataValidation>
    <dataValidation type="whole" showInputMessage="1" showErrorMessage="1" error="Üres vagy legfeljebb a választott kasztok száma, de legalább az Af kaszt sorszáma!" sqref="X15">
      <formula1>tanultAfkaszt</formula1>
      <formula2>IF(választott_kaszt_2="",1,2)</formula2>
    </dataValidation>
    <dataValidation type="whole" showInputMessage="1" showErrorMessage="1" error="Üres vagy legfeljebb a megfelelő kasztod max. szintje!" sqref="P15:Q15">
      <formula1>1</formula1>
      <formula2>IF($O$15=1,MAX(kaszt_szint_1,IF(többes_kaszt=váltott_kaszt,váltás_kezdet,1)),kaszt_szint_2)</formula2>
    </dataValidation>
    <dataValidation type="list" showInputMessage="1" showErrorMessage="1" error="Üres vagy listából választandó!!!" sqref="P3:U3">
      <formula1>INDEX(kasztok,,1)</formula1>
    </dataValidation>
    <dataValidation type="whole" showInputMessage="1" showErrorMessage="1" error="A faji min. és max. közé módosítható!" sqref="F3:F11">
      <formula1>INDEX(fajiminimumok,,ROW()-1)-SUMIFS(INDEX(kasztok,,40+ROW()),INDEX(kasztok,,1),választott_kaszt_1)</formula1>
      <formula2>INDEX(fajimaximumok,,ROW()-1)-SUMIFS(INDEX(kasztok,,40+ROW()),INDEX(kasztok,,1),választott_kaszt_1)</formula2>
    </dataValidation>
    <dataValidation type="whole" showInputMessage="1" showErrorMessage="1" error="A faji min. és max. közé módosítható!" sqref="F12">
      <formula1>INDEX(fajiminimumok,,1)-SUMIFS(INDEX(kasztok,,40+ROW()),INDEX(kasztok,,1),választott_kaszt_1)</formula1>
      <formula2>INDEX(fajimaximumok,,1)-SUMIFS(INDEX(kasztok,,40+ROW()),INDEX(kasztok,,1),választott_kaszt_1)</formula2>
    </dataValidation>
  </dataValidations>
  <pageMargins left="0.25" right="0.25" top="0.75" bottom="0.75" header="0.3" footer="0.3"/>
  <pageSetup orientation="portrait" r:id="rId1"/>
  <headerFooter>
    <oddHeader>&amp;L&amp;"Book Antiqua,Normál"&amp;10Számolós karakterlap @ Kalandorkrónikák XXI.&amp;"-,Normál"&amp;11
&amp;R&amp;"Book Antiqua,Normál"&amp;10Kalandozok.hu</oddHeader>
    <oddFooter>&amp;L&amp;"Book Antiqua,Normál"&amp;10v 3.19.0305&amp;R&amp;"Book Antiqua,Normál"&amp;10Készítette: Silver Hawk @ 2012
Módosította: Con Salamander, Catsmile</oddFooter>
  </headerFooter>
  <legacyDrawing r:id="rId2"/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expression" priority="1" id="{DBC335CA-6FE7-496B-9DE6-28EC79979457}">
            <xm:f>AND(tanultMfTSZ&lt;&gt;0,Adattábla!$D$68&lt;Adattábla!$E$68)</xm:f>
            <x14:dxf>
              <fill>
                <patternFill>
                  <bgColor rgb="FFFF0000"/>
                </patternFill>
              </fill>
            </x14:dxf>
          </x14:cfRule>
          <xm:sqref>X15:Z15</xm:sqref>
        </x14:conditionalFormatting>
        <x14:conditionalFormatting xmlns:xm="http://schemas.microsoft.com/office/excel/2006/main">
          <x14:cfRule type="expression" priority="73" id="{9F3FD96C-5E26-4D41-87E3-B498E8E19149}">
            <xm:f>(VLOOKUP(A15,Adattábla!L:AD,19,FALSE)-SUM(L18:W18))&lt;0</xm:f>
            <x14:dxf>
              <fill>
                <patternFill>
                  <bgColor rgb="FFFF3B3B"/>
                </patternFill>
              </fill>
            </x14:dxf>
          </x14:cfRule>
          <xm:sqref>E16:H16</xm:sqref>
        </x14:conditionalFormatting>
        <x14:conditionalFormatting xmlns:xm="http://schemas.microsoft.com/office/excel/2006/main">
          <x14:cfRule type="expression" priority="140" id="{943CA76D-350A-415A-BEE3-F9A4874502E6}">
            <xm:f>$O$18&lt;IF(P5="Váltott kaszt",VLOOKUP(P3,Adattábla!L:AE,20,FALSE)+VLOOKUP(P4,Adattábla!L:AE,20,FALSE),VLOOKUP(A15,Adattábla!L:AE,20,FALSE))</xm:f>
            <x14:dxf>
              <fill>
                <patternFill>
                  <bgColor theme="5" tint="0.39994506668294322"/>
                </patternFill>
              </fill>
            </x14:dxf>
          </x14:cfRule>
          <xm:sqref>O18:Q18</xm:sqref>
        </x14:conditionalFormatting>
        <x14:conditionalFormatting xmlns:xm="http://schemas.microsoft.com/office/excel/2006/main">
          <x14:cfRule type="expression" priority="75" id="{1D17C7BF-3222-4CE3-BE7F-C591B97BC12F}">
            <xm:f>$R$18&lt;IF(P5="Váltott kaszt",VLOOKUP(P3,Adattábla!L:AG,21,FALSE)+VLOOKUP(P4,Adattábla!L:AG,21,FALSE),VLOOKUP(A15,Adattábla!L:AG,21,FALSE))</xm:f>
            <x14:dxf>
              <fill>
                <patternFill>
                  <bgColor theme="5" tint="0.39994506668294322"/>
                </patternFill>
              </fill>
            </x14:dxf>
          </x14:cfRule>
          <xm:sqref>R18</xm:sqref>
        </x14:conditionalFormatting>
      </x14:conditionalFormattings>
    </ext>
    <ext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Adattábla!$A$24:$A$33</xm:f>
          </x14:formula1>
          <xm:sqref>V7:Z7</xm:sqref>
        </x14:dataValidation>
        <x14:dataValidation type="list" allowBlank="1">
          <x14:formula1>
            <xm:f>Fegyvertábla!$A$2:$A$197</xm:f>
          </x14:formula1>
          <xm:sqref>A20:F29</xm:sqref>
        </x14:dataValidation>
        <x14:dataValidation type="list" allowBlank="1">
          <x14:formula1>
            <xm:f>Adattábla!$A$41:$A$69</xm:f>
          </x14:formula1>
          <xm:sqref>AA36:AG42</xm:sqref>
        </x14:dataValidation>
        <x14:dataValidation type="list" allowBlank="1">
          <x14:formula1>
            <xm:f>Adattábla!$C$41:$C$50</xm:f>
          </x14:formula1>
          <xm:sqref>AA44:AG45</xm:sqref>
        </x14:dataValidation>
        <x14:dataValidation type="list" allowBlank="1" showInputMessage="1" showErrorMessage="1">
          <x14:formula1>
            <xm:f>Adattábla!$L$2:$L$155</xm:f>
          </x14:formula1>
          <xm:sqref>P3:U4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/>
  <dimension ref="A1:CK191"/>
  <sheetViews>
    <sheetView workbookViewId="0">
      <pane xSplit="12" ySplit="1" topLeftCell="Z2" activePane="bottomRight" state="frozen"/>
      <selection pane="topRight" activeCell="M1" sqref="M1"/>
      <selection pane="bottomLeft" activeCell="A2" sqref="A2"/>
      <selection pane="bottomRight" activeCell="E11" sqref="E11"/>
    </sheetView>
  </sheetViews>
  <sheetFormatPr defaultColWidth="9.140625" defaultRowHeight="15"/>
  <cols>
    <col min="1" max="11" width="12.7109375" customWidth="1"/>
    <col min="12" max="12" width="24.7109375" customWidth="1"/>
    <col min="13" max="22" width="8.28515625" customWidth="1"/>
    <col min="23" max="25" width="9.7109375" customWidth="1"/>
    <col min="26" max="30" width="6.7109375" customWidth="1"/>
    <col min="31" max="32" width="9.140625" customWidth="1"/>
    <col min="33" max="39" width="9.7109375" customWidth="1"/>
    <col min="40" max="40" width="12.7109375" customWidth="1"/>
    <col min="41" max="41" width="9.7109375" customWidth="1"/>
    <col min="42" max="42" width="11.28515625" customWidth="1"/>
    <col min="43" max="43" width="9.7109375" style="1" customWidth="1"/>
    <col min="44" max="52" width="9.140625" style="1" customWidth="1"/>
    <col min="53" max="53" width="9.7109375" customWidth="1"/>
    <col min="54" max="64" width="12.7109375" style="3" customWidth="1"/>
    <col min="65" max="65" width="9.7109375" customWidth="1"/>
    <col min="66" max="85" width="12.7109375" customWidth="1"/>
    <col min="86" max="86" width="6.5703125" customWidth="1"/>
    <col min="87" max="87" width="6.5703125" style="148" customWidth="1"/>
  </cols>
  <sheetData>
    <row r="1" spans="1:89" ht="27">
      <c r="A1" s="631" t="s">
        <v>13</v>
      </c>
      <c r="B1" s="632"/>
      <c r="C1" s="10"/>
      <c r="D1" s="277" t="s">
        <v>57</v>
      </c>
      <c r="E1" s="278" t="s">
        <v>282</v>
      </c>
      <c r="F1" s="11"/>
      <c r="G1" s="631" t="s">
        <v>137</v>
      </c>
      <c r="H1" s="636"/>
      <c r="I1" s="279" t="s">
        <v>343</v>
      </c>
      <c r="J1" s="278" t="s">
        <v>344</v>
      </c>
      <c r="K1" s="10"/>
      <c r="L1" s="628" t="s">
        <v>23</v>
      </c>
      <c r="M1" s="628"/>
      <c r="N1" s="628"/>
      <c r="O1" s="628"/>
      <c r="P1" s="59" t="s">
        <v>27</v>
      </c>
      <c r="Q1" s="59" t="s">
        <v>28</v>
      </c>
      <c r="R1" s="59" t="s">
        <v>29</v>
      </c>
      <c r="S1" s="59" t="s">
        <v>30</v>
      </c>
      <c r="T1" s="59" t="s">
        <v>31</v>
      </c>
      <c r="U1" s="59" t="s">
        <v>32</v>
      </c>
      <c r="V1" s="59" t="s">
        <v>33</v>
      </c>
      <c r="W1" s="59" t="s">
        <v>34</v>
      </c>
      <c r="X1" s="59" t="s">
        <v>35</v>
      </c>
      <c r="Y1" s="59" t="s">
        <v>99</v>
      </c>
      <c r="Z1" s="59" t="s">
        <v>47</v>
      </c>
      <c r="AA1" s="59" t="s">
        <v>48</v>
      </c>
      <c r="AB1" s="59" t="s">
        <v>49</v>
      </c>
      <c r="AC1" s="59" t="s">
        <v>50</v>
      </c>
      <c r="AD1" s="59" t="s">
        <v>51</v>
      </c>
      <c r="AE1" s="60" t="s">
        <v>351</v>
      </c>
      <c r="AF1" s="60" t="s">
        <v>352</v>
      </c>
      <c r="AG1" s="59" t="s">
        <v>52</v>
      </c>
      <c r="AH1" s="59" t="s">
        <v>53</v>
      </c>
      <c r="AI1" s="59" t="s">
        <v>82</v>
      </c>
      <c r="AJ1" s="59" t="s">
        <v>54</v>
      </c>
      <c r="AK1" s="59" t="s">
        <v>55</v>
      </c>
      <c r="AL1" s="59" t="s">
        <v>56</v>
      </c>
      <c r="AM1" s="59" t="s">
        <v>59</v>
      </c>
      <c r="AN1" s="59" t="s">
        <v>65</v>
      </c>
      <c r="AO1" s="60" t="s">
        <v>1184</v>
      </c>
      <c r="AP1" s="59" t="s">
        <v>347</v>
      </c>
      <c r="AQ1" s="60" t="s">
        <v>83</v>
      </c>
      <c r="AR1" s="60" t="s">
        <v>84</v>
      </c>
      <c r="AS1" s="60" t="s">
        <v>85</v>
      </c>
      <c r="AT1" s="60" t="s">
        <v>86</v>
      </c>
      <c r="AU1" s="60" t="s">
        <v>349</v>
      </c>
      <c r="AV1" s="60" t="s">
        <v>88</v>
      </c>
      <c r="AW1" s="60" t="s">
        <v>348</v>
      </c>
      <c r="AX1" s="60" t="s">
        <v>350</v>
      </c>
      <c r="AY1" s="60" t="s">
        <v>91</v>
      </c>
      <c r="AZ1" s="60" t="s">
        <v>92</v>
      </c>
      <c r="BA1" s="59" t="s">
        <v>100</v>
      </c>
      <c r="BB1" s="276" t="s">
        <v>112</v>
      </c>
      <c r="BC1" s="276" t="s">
        <v>113</v>
      </c>
      <c r="BD1" s="276" t="s">
        <v>114</v>
      </c>
      <c r="BE1" s="276" t="s">
        <v>115</v>
      </c>
      <c r="BF1" s="276" t="s">
        <v>116</v>
      </c>
      <c r="BG1" s="276" t="s">
        <v>117</v>
      </c>
      <c r="BH1" s="276" t="s">
        <v>118</v>
      </c>
      <c r="BI1" s="276" t="s">
        <v>119</v>
      </c>
      <c r="BJ1" s="276" t="s">
        <v>120</v>
      </c>
      <c r="BK1" s="276" t="s">
        <v>121</v>
      </c>
      <c r="BL1" s="276" t="s">
        <v>341</v>
      </c>
      <c r="BM1" s="61" t="s">
        <v>126</v>
      </c>
      <c r="BN1" s="59" t="s">
        <v>112</v>
      </c>
      <c r="BO1" s="59" t="s">
        <v>113</v>
      </c>
      <c r="BP1" s="59" t="s">
        <v>114</v>
      </c>
      <c r="BQ1" s="59" t="s">
        <v>115</v>
      </c>
      <c r="BR1" s="59" t="s">
        <v>116</v>
      </c>
      <c r="BS1" s="59" t="s">
        <v>117</v>
      </c>
      <c r="BT1" s="59" t="s">
        <v>118</v>
      </c>
      <c r="BU1" s="59" t="s">
        <v>119</v>
      </c>
      <c r="BV1" s="59" t="s">
        <v>120</v>
      </c>
      <c r="BW1" s="59" t="s">
        <v>121</v>
      </c>
      <c r="BX1" s="276" t="s">
        <v>112</v>
      </c>
      <c r="BY1" s="276" t="s">
        <v>113</v>
      </c>
      <c r="BZ1" s="276" t="s">
        <v>114</v>
      </c>
      <c r="CA1" s="276" t="s">
        <v>115</v>
      </c>
      <c r="CB1" s="276" t="s">
        <v>116</v>
      </c>
      <c r="CC1" s="276" t="s">
        <v>117</v>
      </c>
      <c r="CD1" s="276" t="s">
        <v>118</v>
      </c>
      <c r="CE1" s="276" t="s">
        <v>119</v>
      </c>
      <c r="CF1" s="276" t="s">
        <v>120</v>
      </c>
      <c r="CG1" s="276" t="s">
        <v>121</v>
      </c>
      <c r="CH1" s="276" t="s">
        <v>805</v>
      </c>
      <c r="CI1" s="276" t="s">
        <v>808</v>
      </c>
      <c r="CJ1" s="148"/>
      <c r="CK1" s="148"/>
    </row>
    <row r="2" spans="1:89">
      <c r="A2" s="41">
        <v>12</v>
      </c>
      <c r="B2" s="42">
        <v>1</v>
      </c>
      <c r="C2" s="10"/>
      <c r="D2" s="15" t="s">
        <v>775</v>
      </c>
      <c r="E2" s="16">
        <v>0</v>
      </c>
      <c r="F2" s="15"/>
      <c r="G2" s="39" t="s">
        <v>127</v>
      </c>
      <c r="H2" s="14">
        <v>9</v>
      </c>
      <c r="I2" s="274">
        <v>2</v>
      </c>
      <c r="J2" s="269">
        <v>17</v>
      </c>
      <c r="K2" s="10"/>
      <c r="L2" s="261" t="s">
        <v>283</v>
      </c>
      <c r="M2" s="33">
        <v>0</v>
      </c>
      <c r="N2" s="33">
        <v>161</v>
      </c>
      <c r="O2" s="33">
        <v>321</v>
      </c>
      <c r="P2" s="33">
        <v>641</v>
      </c>
      <c r="Q2" s="33">
        <v>1441</v>
      </c>
      <c r="R2" s="34">
        <v>2801</v>
      </c>
      <c r="S2" s="33">
        <v>5601</v>
      </c>
      <c r="T2" s="33">
        <v>10001</v>
      </c>
      <c r="U2" s="33">
        <v>20001</v>
      </c>
      <c r="V2" s="33">
        <v>40001</v>
      </c>
      <c r="W2" s="33">
        <v>60001</v>
      </c>
      <c r="X2" s="33">
        <v>80001</v>
      </c>
      <c r="Y2" s="34">
        <f>112001+MAX(0,SUMIFS(INDEX(választott_kasztok,,10),INDEX(választott_kasztok,,1),$L2)-13)*31200</f>
        <v>112001</v>
      </c>
      <c r="Z2" s="10">
        <v>9</v>
      </c>
      <c r="AA2" s="10">
        <v>20</v>
      </c>
      <c r="AB2" s="10">
        <v>75</v>
      </c>
      <c r="AC2" s="10">
        <v>0</v>
      </c>
      <c r="AD2" s="10">
        <f>MAX(11,SUMIFS(INDEX(választott_kasztok,,10),INDEX(választott_kasztok,,1),$L2)*11)</f>
        <v>11</v>
      </c>
      <c r="AE2" s="10">
        <f>MAX(3,SUMIFS(INDEX(választott_kasztok,,10),INDEX(választott_kasztok,,1),$L2)*3)</f>
        <v>3</v>
      </c>
      <c r="AF2" s="10">
        <f>MAX(3,SUMIFS(INDEX(választott_kasztok,,10),INDEX(választott_kasztok,,1),$L2)*3)</f>
        <v>3</v>
      </c>
      <c r="AG2" s="20">
        <f>IF(AND(többes_kaszt=iker_kaszt,váltás_kezdet=0,váltás_kezdet&lt;&gt;""),0,10)</f>
        <v>10</v>
      </c>
      <c r="AH2" s="10">
        <f>MAX(0,IF(választott_kaszt_1=$L2,IF(váltás_kezdet="",VLOOKUP($L2,választott_kasztok,10,FALSE)*14,MIN(VLOOKUP($L2,választott_kasztok,10,FALSE),váltás_kezdet)*14+IF(többes_kaszt=iker_kaszt,MAX(0,VLOOKUP($L2,választott_kasztok,10,FALSE)-váltás_kezdet),0)+IF(többes_kaszt=váltott_kaszt,MAX(0,váltás_kezdet-VLOOKUP($L2,választott_kasztok,10,FALSE))*14)),0)+IF(választott_kaszt_2=$L2,VLOOKUP($L2,választott_kasztok,10,FALSE)*IF(többes_kaszt=iker_kaszt,1,14),0))</f>
        <v>0</v>
      </c>
      <c r="AI2" s="10">
        <v>0</v>
      </c>
      <c r="AJ2" s="10">
        <v>7</v>
      </c>
      <c r="AK2" s="10">
        <v>6</v>
      </c>
      <c r="AL2" s="10">
        <f>MAX(1,SUMIFS(INDEX(választott_kasztok,,10),INDEX(választott_kasztok,,1),$L2))*(k6dobás+4)</f>
        <v>10</v>
      </c>
      <c r="AM2" s="10"/>
      <c r="AN2" s="20" t="str">
        <f>IF(OR(tanultAfTSZ&gt;0,tanultMfTSZ&gt;0),pyarroni,nincsen)</f>
        <v>nincs</v>
      </c>
      <c r="AO2" s="208" t="str">
        <f>IF(tanultMfkaszt=0,"00",IF(INDEX(választott_kasztok,tanultMfkaszt,1)=$L2,TEXT(tanultMfTSZ,"00"),"00"))&amp;IF(tanultAfkaszt=0,"00",IF(INDEX(választott_kasztok,tanultAfkaszt,1)=$L2,TEXT(tanultAfTSZ,"00"),"00"))&amp;"01"</f>
        <v>000001</v>
      </c>
      <c r="AP2" s="33">
        <v>0</v>
      </c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117">
        <f>112001+MAX(0,váltás_kezdet-13)*31200</f>
        <v>112001</v>
      </c>
      <c r="BB2" s="17">
        <f t="shared" ref="BB2:BB42" si="0">MAX(SUMIFS(INDEX(dobások,,2),INDEX(dobások,,1),BX2)+SUMIFS(INDEX(fajok,,3),INDEX(fajok,,1),választott_faj),IF(AND(többes_kaszt=iker_kaszt,váltás_kezdet=1,választott_kaszt_1=$L2),SUMIFS(INDEX(kasztok,,43),INDEX(kasztok,,1),választott_kaszt_2),0))</f>
        <v>16</v>
      </c>
      <c r="BC2" s="17">
        <f t="shared" ref="BC2:BC42" si="1">MAX(SUMIFS(INDEX(dobások,,2),INDEX(dobások,,1),BY2)+SUMIFS(INDEX(fajok,,4),INDEX(fajok,,1),választott_faj),IF(AND(többes_kaszt=iker_kaszt,váltás_kezdet=1,választott_kaszt_1=$L2),SUMIFS(INDEX(kasztok,,44),INDEX(kasztok,,1),választott_kaszt_2),0))</f>
        <v>13</v>
      </c>
      <c r="BD2" s="17">
        <f t="shared" ref="BD2:BD42" si="2">MAX(SUMIFS(INDEX(dobások,,2),INDEX(dobások,,1),BZ2)+SUMIFS(INDEX(fajok,,5),INDEX(fajok,,1),választott_faj),IF(AND(többes_kaszt=iker_kaszt,váltás_kezdet=1,választott_kaszt_1=$L2),SUMIFS(INDEX(kasztok,,45),INDEX(kasztok,,1),választott_kaszt_2),0))</f>
        <v>13</v>
      </c>
      <c r="BE2" s="17">
        <f t="shared" ref="BE2:BE42" si="3">MAX(SUMIFS(INDEX(dobások,,2),INDEX(dobások,,1),CA2)+SUMIFS(INDEX(fajok,,6),INDEX(fajok,,1),választott_faj),IF(AND(többes_kaszt=iker_kaszt,váltás_kezdet=1,választott_kaszt_1=$L2),SUMIFS(INDEX(kasztok,,46),INDEX(kasztok,,1),választott_kaszt_2),0))</f>
        <v>14</v>
      </c>
      <c r="BF2" s="116">
        <f t="shared" ref="BF2:BF42" si="4">MAX(SUMIFS(INDEX(dobások,,2),INDEX(dobások,,1),CB2)+SUMIFS(INDEX(fajok,,7),INDEX(fajok,,1),választott_faj),IF(AND(többes_kaszt=iker_kaszt,váltás_kezdet=1,választott_kaszt_1=$L2),SUMIFS(INDEX(kasztok,,47),INDEX(kasztok,,1),választott_kaszt_2),0))</f>
        <v>16</v>
      </c>
      <c r="BG2" s="17">
        <f t="shared" ref="BG2:BG42" si="5">MAX(SUMIFS(INDEX(dobások,,2),INDEX(dobások,,1),CC2)+SUMIFS(INDEX(fajok,,8),INDEX(fajok,,1),választott_faj),IF(AND(többes_kaszt=iker_kaszt,váltás_kezdet=1,választott_kaszt_1=$L2),SUMIFS(INDEX(kasztok,,48),INDEX(kasztok,,1),választott_kaszt_2),0))</f>
        <v>11</v>
      </c>
      <c r="BH2" s="17">
        <f t="shared" ref="BH2:BH42" si="6">MAX(SUMIFS(INDEX(dobások,,2),INDEX(dobások,,1),CD2)+SUMIFS(INDEX(fajok,,9),INDEX(fajok,,1),választott_faj),IF(AND(többes_kaszt=iker_kaszt,váltás_kezdet=1,választott_kaszt_1=$L2),SUMIFS(INDEX(kasztok,,49),INDEX(kasztok,,1),választott_kaszt_2),0))</f>
        <v>11</v>
      </c>
      <c r="BI2" s="17">
        <f t="shared" ref="BI2:BI42" si="7">MAX(SUMIFS(INDEX(dobások,,2),INDEX(dobások,,1),CE2),IF(AND(többes_kaszt=iker_kaszt,váltás_kezdet=1,választott_kaszt_1=$L2),SUMIFS(INDEX(kasztok,,50),INDEX(kasztok,,1),választott_kaszt_2),0))</f>
        <v>13</v>
      </c>
      <c r="BJ2" s="17">
        <f t="shared" ref="BJ2:BJ42" si="8">MAX(SUMIFS(INDEX(dobások,,2),INDEX(dobások,,1),CF2)+SUMIFS(INDEX(fajok,,10),INDEX(fajok,,1),választott_faj),IF(AND(többes_kaszt=iker_kaszt,váltás_kezdet=1,választott_kaszt_1=$L2),SUMIFS(INDEX(kasztok,,51),INDEX(kasztok,,1),választott_kaszt_2),0))</f>
        <v>11</v>
      </c>
      <c r="BK2" s="17">
        <f t="shared" ref="BK2:BK42" si="9">MAX(SUMIFS(INDEX(dobások,,2),INDEX(dobások,,1),CG2),IF(AND(többes_kaszt=iker_kaszt,váltás_kezdet=1,választott_kaszt_1=$L2),SUMIFS(INDEX(kasztok,,52),INDEX(kasztok,,1),választott_kaszt_2),0))</f>
        <v>13</v>
      </c>
      <c r="BL2" s="17">
        <f t="shared" ref="BL2:BL45" si="10">MAX(0,SUM(tulajdonságok)-SUM($BB2:$BK2))</f>
        <v>0</v>
      </c>
      <c r="BM2" s="13">
        <f t="shared" ref="BM2:BM42" si="11">MAX(0,erő-(SUMIFS(INDEX(dobások,,4),INDEX(dobások,,1),BX2)+SUMIFS(INDEX(fajok,,3),INDEX(fajok,,1),választott_faj)))+MAX(0,gyorsaság-(SUMIFS(INDEX(dobások,,4),INDEX(dobások,,1),BY2)+SUMIFS(INDEX(fajok,,4),INDEX(fajok,,1),választott_faj)))+MAX(0,ügyesség-(SUMIFS(INDEX(dobások,,4),INDEX(dobások,,1),BZ2)+SUMIFS(INDEX(fajok,,5),INDEX(fajok,,1),választott_faj)))+MAX(0,állóképesség-(SUMIFS(INDEX(dobások,,4),INDEX(dobások,,1),CA2)+SUMIFS(INDEX(fajok,,6),INDEX(fajok,,1),választott_faj)))+MAX(0,egészség-(SUMIFS(INDEX(dobások,,4),INDEX(dobások,,1),CB2)+SUMIFS(INDEX(fajok,,7),INDEX(fajok,,1),választott_faj)))+MAX(0,szépség-(SUMIFS(INDEX(dobások,,4),INDEX(dobások,,1),CC2)+SUMIFS(INDEX(fajok,,8),INDEX(fajok,,1),választott_faj)))+MAX(0,intelligencia-(SUMIFS(INDEX(dobások,,4),INDEX(dobások,,1),CD2)+SUMIFS(INDEX(fajok,,9),INDEX(fajok,,1),választott_faj)))+MAX(0,akaraterő-SUMIFS(INDEX(dobások,,4),INDEX(dobások,,1),CE2))+MAX(0,asztrál-(SUMIFS(INDEX(dobások,,4),INDEX(dobások,,1),CF2)+SUMIFS(INDEX(fajok,,10),INDEX(fajok,,1),választott_faj)))+MAX(0,érzékelés-SUMIFS(INDEX(dobások,,4),INDEX(dobások,,1),CG2))</f>
        <v>0</v>
      </c>
      <c r="BN2" s="12" t="s">
        <v>262</v>
      </c>
      <c r="BO2" s="12" t="s">
        <v>262</v>
      </c>
      <c r="BP2" s="12" t="s">
        <v>262</v>
      </c>
      <c r="BQ2" s="12" t="s">
        <v>262</v>
      </c>
      <c r="BR2" s="12"/>
      <c r="BS2" s="12"/>
      <c r="BT2" s="12"/>
      <c r="BU2" s="12"/>
      <c r="BV2" s="12"/>
      <c r="BW2" s="51"/>
      <c r="BX2" s="12" t="s">
        <v>134</v>
      </c>
      <c r="BY2" s="12" t="s">
        <v>131</v>
      </c>
      <c r="BZ2" s="12" t="s">
        <v>131</v>
      </c>
      <c r="CA2" s="12" t="s">
        <v>132</v>
      </c>
      <c r="CB2" s="12" t="s">
        <v>135</v>
      </c>
      <c r="CC2" s="12" t="s">
        <v>129</v>
      </c>
      <c r="CD2" s="12" t="s">
        <v>129</v>
      </c>
      <c r="CE2" s="12" t="s">
        <v>131</v>
      </c>
      <c r="CF2" s="12" t="s">
        <v>129</v>
      </c>
      <c r="CG2" s="12" t="s">
        <v>131</v>
      </c>
      <c r="CH2" s="10">
        <v>3</v>
      </c>
      <c r="CI2" s="10">
        <v>18</v>
      </c>
      <c r="CJ2" s="148"/>
      <c r="CK2" s="63"/>
    </row>
    <row r="3" spans="1:89">
      <c r="A3" s="41">
        <v>12.5</v>
      </c>
      <c r="B3" s="42">
        <v>1</v>
      </c>
      <c r="C3" s="10"/>
      <c r="D3" s="15" t="s">
        <v>107</v>
      </c>
      <c r="E3" s="16">
        <v>0</v>
      </c>
      <c r="F3" s="15"/>
      <c r="G3" s="39" t="s">
        <v>128</v>
      </c>
      <c r="H3" s="14">
        <v>10</v>
      </c>
      <c r="I3" s="274">
        <v>3</v>
      </c>
      <c r="J3" s="269">
        <v>18</v>
      </c>
      <c r="K3" s="10"/>
      <c r="L3" s="10" t="s">
        <v>284</v>
      </c>
      <c r="M3" s="33">
        <v>0</v>
      </c>
      <c r="N3" s="33">
        <v>231</v>
      </c>
      <c r="O3" s="33">
        <v>501</v>
      </c>
      <c r="P3" s="33">
        <v>1000</v>
      </c>
      <c r="Q3" s="33">
        <v>2201</v>
      </c>
      <c r="R3" s="33">
        <v>5001</v>
      </c>
      <c r="S3" s="33">
        <v>10001</v>
      </c>
      <c r="T3" s="33">
        <v>18001</v>
      </c>
      <c r="U3" s="33">
        <v>35001</v>
      </c>
      <c r="V3" s="33">
        <v>70001</v>
      </c>
      <c r="W3" s="33">
        <v>150001</v>
      </c>
      <c r="X3" s="33">
        <v>200001</v>
      </c>
      <c r="Y3" s="34">
        <f>300001+MAX(0,SUMIFS(INDEX(választott_kasztok,,10),INDEX(választott_kasztok,,1),$L3)-13)*80000</f>
        <v>300001</v>
      </c>
      <c r="Z3" s="10">
        <v>4</v>
      </c>
      <c r="AA3" s="10">
        <v>15</v>
      </c>
      <c r="AB3" s="10">
        <v>70</v>
      </c>
      <c r="AC3" s="10">
        <v>0</v>
      </c>
      <c r="AD3" s="10">
        <f>MAX(6,SUMIFS(INDEX(választott_kasztok,,10),INDEX(választott_kasztok,,1),$L3)*6)</f>
        <v>6</v>
      </c>
      <c r="AE3" s="10">
        <f>MAX(2,SUMIFS(INDEX(választott_kasztok,,10),INDEX(választott_kasztok,,1),$L3)*2)</f>
        <v>2</v>
      </c>
      <c r="AF3" s="10">
        <f>MAX(2,SUMIFS(INDEX(választott_kasztok,,10),INDEX(választott_kasztok,,1),$L3)*2)</f>
        <v>2</v>
      </c>
      <c r="AG3" s="20">
        <f>IF(AND(többes_kaszt=iker_kaszt,váltás_kezdet=0,váltás_kezdet&lt;&gt;""),0,6)</f>
        <v>6</v>
      </c>
      <c r="AH3" s="10">
        <f>MAX(0,IF(választott_kaszt_1=$L3,IF(váltás_kezdet="",VLOOKUP($L3,választott_kasztok,10,FALSE)*10,MIN(VLOOKUP($L3,választott_kasztok,10,FALSE),váltás_kezdet)*10+IF(többes_kaszt=iker_kaszt,MAX(0,VLOOKUP($L3,választott_kasztok,10,FALSE)-váltás_kezdet),0)+IF(többes_kaszt=váltott_kaszt,MAX(0,váltás_kezdet-VLOOKUP($L3,választott_kasztok,10,FALSE))*10)),0)+IF(választott_kaszt_2=$L3,VLOOKUP($L3,választott_kasztok,10,FALSE)*IF(többes_kaszt=iker_kaszt,1,10),0))</f>
        <v>0</v>
      </c>
      <c r="AI3" s="10">
        <v>0</v>
      </c>
      <c r="AJ3" s="10">
        <v>6</v>
      </c>
      <c r="AK3" s="10">
        <v>6</v>
      </c>
      <c r="AL3" s="10">
        <f>MAX(1,SUMIFS(INDEX(választott_kasztok,,10),INDEX(választott_kasztok,,1),$L3))*(k6dobás+2)</f>
        <v>8</v>
      </c>
      <c r="AM3" s="10">
        <f>MAX(9,SUMIFS(INDEX(választott_kasztok,,10),INDEX(választott_kasztok,,1),$L3)*9)</f>
        <v>9</v>
      </c>
      <c r="AN3" s="20" t="s">
        <v>1183</v>
      </c>
      <c r="AO3" s="209"/>
      <c r="AP3" s="33">
        <v>0</v>
      </c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117">
        <f>300001+MAX(0,váltás_kezdet-13)*80000</f>
        <v>300001</v>
      </c>
      <c r="BB3" s="17">
        <f t="shared" si="0"/>
        <v>13</v>
      </c>
      <c r="BC3" s="17">
        <f t="shared" si="1"/>
        <v>11</v>
      </c>
      <c r="BD3" s="17">
        <f t="shared" si="2"/>
        <v>11</v>
      </c>
      <c r="BE3" s="17">
        <f t="shared" si="3"/>
        <v>13</v>
      </c>
      <c r="BF3" s="17">
        <f t="shared" si="4"/>
        <v>14</v>
      </c>
      <c r="BG3" s="116">
        <f t="shared" si="5"/>
        <v>16</v>
      </c>
      <c r="BH3" s="17">
        <f t="shared" si="6"/>
        <v>14</v>
      </c>
      <c r="BI3" s="17">
        <f t="shared" si="7"/>
        <v>14</v>
      </c>
      <c r="BJ3" s="17">
        <f t="shared" si="8"/>
        <v>16</v>
      </c>
      <c r="BK3" s="17">
        <f t="shared" si="9"/>
        <v>14</v>
      </c>
      <c r="BL3" s="17">
        <f t="shared" si="10"/>
        <v>0</v>
      </c>
      <c r="BM3" s="13">
        <f t="shared" si="11"/>
        <v>0</v>
      </c>
      <c r="BN3" s="12"/>
      <c r="BO3" s="12"/>
      <c r="BP3" s="12"/>
      <c r="BQ3" s="12"/>
      <c r="BR3" s="12"/>
      <c r="BS3" s="12"/>
      <c r="BT3" s="12"/>
      <c r="BU3" s="12" t="s">
        <v>262</v>
      </c>
      <c r="BV3" s="12"/>
      <c r="BW3" s="51"/>
      <c r="BX3" s="12" t="s">
        <v>131</v>
      </c>
      <c r="BY3" s="12" t="s">
        <v>129</v>
      </c>
      <c r="BZ3" s="12" t="s">
        <v>129</v>
      </c>
      <c r="CA3" s="12" t="s">
        <v>131</v>
      </c>
      <c r="CB3" s="12" t="s">
        <v>132</v>
      </c>
      <c r="CC3" s="12" t="s">
        <v>135</v>
      </c>
      <c r="CD3" s="12" t="s">
        <v>132</v>
      </c>
      <c r="CE3" s="12" t="s">
        <v>132</v>
      </c>
      <c r="CF3" s="12" t="s">
        <v>134</v>
      </c>
      <c r="CG3" s="12" t="s">
        <v>132</v>
      </c>
      <c r="CH3" s="20">
        <v>5</v>
      </c>
      <c r="CI3" s="10">
        <v>6</v>
      </c>
      <c r="CJ3" s="148"/>
      <c r="CK3" s="63"/>
    </row>
    <row r="4" spans="1:89">
      <c r="A4" s="41">
        <v>13</v>
      </c>
      <c r="B4" s="42">
        <v>1</v>
      </c>
      <c r="C4" s="10"/>
      <c r="D4" s="15" t="s">
        <v>1183</v>
      </c>
      <c r="E4" s="16">
        <v>5</v>
      </c>
      <c r="F4" s="14"/>
      <c r="G4" s="39" t="s">
        <v>129</v>
      </c>
      <c r="H4" s="14">
        <v>11</v>
      </c>
      <c r="I4" s="274">
        <v>3</v>
      </c>
      <c r="J4" s="269">
        <v>18</v>
      </c>
      <c r="K4" s="10"/>
      <c r="L4" s="247" t="s">
        <v>1249</v>
      </c>
      <c r="M4" s="248">
        <v>0</v>
      </c>
      <c r="N4" s="248">
        <v>161</v>
      </c>
      <c r="O4" s="248">
        <v>331</v>
      </c>
      <c r="P4" s="248">
        <v>661</v>
      </c>
      <c r="Q4" s="248">
        <v>1301</v>
      </c>
      <c r="R4" s="248">
        <v>2601</v>
      </c>
      <c r="S4" s="248">
        <v>5001</v>
      </c>
      <c r="T4" s="248">
        <v>9001</v>
      </c>
      <c r="U4" s="248">
        <v>23001</v>
      </c>
      <c r="V4" s="248">
        <v>50001</v>
      </c>
      <c r="W4" s="248">
        <v>90001</v>
      </c>
      <c r="X4" s="248">
        <v>130001</v>
      </c>
      <c r="Y4" s="117">
        <f>165001+MAX(0,SUMIFS(INDEX(választott_kasztok,,10),INDEX(választott_kasztok,,1),$L4)-13)*50000</f>
        <v>165001</v>
      </c>
      <c r="Z4" s="247">
        <v>5</v>
      </c>
      <c r="AA4" s="247">
        <v>17</v>
      </c>
      <c r="AB4" s="247">
        <v>72</v>
      </c>
      <c r="AC4" s="247">
        <v>0</v>
      </c>
      <c r="AD4" s="249">
        <f>MAX(8,MIN(4,SUMIFS(INDEX(választott_kasztok,,10),INDEX(választott_kasztok,,1),$L4))*8+MAX(0,SUMIFS(INDEX(választott_kasztok,,10),INDEX(választott_kasztok,,1),$L4)-4)*4)</f>
        <v>8</v>
      </c>
      <c r="AE4" s="247">
        <f>MAX(3,MIN(4,SUMIFS(INDEX(választott_kasztok,,10),INDEX(választott_kasztok,,1),$L4))*3+MAX(0,SUMIFS(INDEX(választott_kasztok,,10),INDEX(választott_kasztok,,1),$L4)-4)*1)</f>
        <v>3</v>
      </c>
      <c r="AF4" s="247">
        <f>MAX(3,MIN(4,SUMIFS(INDEX(választott_kasztok,,10),INDEX(választott_kasztok,,1),$L4))*3+MAX(0,SUMIFS(INDEX(választott_kasztok,,10),INDEX(választott_kasztok,,1),$L4)-4)*1)</f>
        <v>3</v>
      </c>
      <c r="AG4" s="250">
        <f>IF(AND(többes_kaszt=iker_kaszt,váltás_kezdet=0,váltás_kezdet&lt;&gt;""),0,6)</f>
        <v>6</v>
      </c>
      <c r="AH4" s="250">
        <f>MAX(10,IF(választott_kaszt_1=$L4,IF(váltás_kezdet="",VLOOKUP($L4,választott_kasztok,10,FALSE)*10+MAX(0,VLOOKUP($L4,választott_kasztok,10,FALSE)-5)*4,MIN(VLOOKUP($L4,választott_kasztok,10,FALSE),váltás_kezdet)*10+MAX(0,MIN(VLOOKUP($L4,választott_kasztok,10,FALSE),váltás_kezdet)-5)*4+IF(többes_kaszt=iker_kaszt,MAX(0,VLOOKUP($L4,választott_kasztok,10,FALSE)-váltás_kezdet),0)+IF(többes_kaszt=váltott_kaszt,MAX(0,váltás_kezdet-VLOOKUP($L4,választott_kasztok,10,FALSE))*10+MAX(0,váltás_kezdet-5)*4)),0)+IF(választott_kaszt_2=$L4,VLOOKUP($L4,választott_kasztok,10,FALSE)*IF(többes_kaszt=iker_kaszt,1,10)+MAX(0,VLOOKUP($L4,választott_kasztok,10,FALSE)-5)*IF(többes_kaszt=iker_kaszt,0,4),0))</f>
        <v>10</v>
      </c>
      <c r="AI4" s="247">
        <v>0</v>
      </c>
      <c r="AJ4" s="247">
        <v>6</v>
      </c>
      <c r="AK4" s="247">
        <v>6</v>
      </c>
      <c r="AL4" s="247">
        <f>MAX(1,SUMIFS(INDEX(választott_kasztok,,10),INDEX(választott_kasztok,,1),$L4))*(k6dobás+2)</f>
        <v>8</v>
      </c>
      <c r="AM4" s="247">
        <f>MAX(9,MIN(1,SUMIFS(INDEX(választott_kasztok,,10),INDEX(választott_kasztok,,1),$L4))*9+MAX(0,SUMIFS(INDEX(választott_kasztok,,10),INDEX(választott_kasztok,,1),$L4)-1)*(6+ROUNDUP(k6dobás/2,0)))</f>
        <v>9</v>
      </c>
      <c r="AN4" s="250" t="s">
        <v>1183</v>
      </c>
      <c r="AO4" s="251"/>
      <c r="AP4" s="248">
        <v>0</v>
      </c>
      <c r="AQ4" s="252"/>
      <c r="AR4" s="252"/>
      <c r="AS4" s="258">
        <f>IF(AND(SUMIFS(INDEX(választott_kasztok,,10),INDEX(választott_kasztok,,1),$L4)&gt;0,COUNTIF(INDEX(világi_képzettségek,,1),"*tánc*")=1),IF(AND(PROPER(INDEX(világi_képzettségek,MATCH("*tánc*",INDEX(világi_képzettségek,,1),0),8))="Mf",INDEX(világi_képzettségek,MATCH("*tánc*",INDEX(világi_képzettségek,,1),0),7)=0),50,0),0)</f>
        <v>0</v>
      </c>
      <c r="AT4" s="252"/>
      <c r="AU4" s="252"/>
      <c r="AV4" s="252"/>
      <c r="AW4" s="252"/>
      <c r="AX4" s="252"/>
      <c r="AY4" s="252"/>
      <c r="AZ4" s="252"/>
      <c r="BA4" s="117">
        <f>165001+MAX(0,váltás_kezdet-13)*50000</f>
        <v>165001</v>
      </c>
      <c r="BB4" s="253">
        <f t="shared" si="0"/>
        <v>13</v>
      </c>
      <c r="BC4" s="253">
        <f t="shared" si="1"/>
        <v>11</v>
      </c>
      <c r="BD4" s="253">
        <f t="shared" si="2"/>
        <v>11</v>
      </c>
      <c r="BE4" s="253">
        <f t="shared" si="3"/>
        <v>13</v>
      </c>
      <c r="BF4" s="253">
        <f t="shared" si="4"/>
        <v>14</v>
      </c>
      <c r="BG4" s="254">
        <f t="shared" si="5"/>
        <v>16</v>
      </c>
      <c r="BH4" s="253">
        <f t="shared" si="6"/>
        <v>14</v>
      </c>
      <c r="BI4" s="253">
        <f t="shared" si="7"/>
        <v>14</v>
      </c>
      <c r="BJ4" s="253">
        <f t="shared" si="8"/>
        <v>16</v>
      </c>
      <c r="BK4" s="253">
        <f t="shared" si="9"/>
        <v>14</v>
      </c>
      <c r="BL4" s="253">
        <f t="shared" si="10"/>
        <v>0</v>
      </c>
      <c r="BM4" s="255">
        <f t="shared" si="11"/>
        <v>0</v>
      </c>
      <c r="BN4" s="256"/>
      <c r="BO4" s="256"/>
      <c r="BP4" s="256"/>
      <c r="BQ4" s="256"/>
      <c r="BR4" s="256"/>
      <c r="BS4" s="256"/>
      <c r="BT4" s="256"/>
      <c r="BU4" s="256" t="s">
        <v>262</v>
      </c>
      <c r="BV4" s="256" t="s">
        <v>262</v>
      </c>
      <c r="BW4" s="257"/>
      <c r="BX4" s="256" t="s">
        <v>131</v>
      </c>
      <c r="BY4" s="256" t="s">
        <v>129</v>
      </c>
      <c r="BZ4" s="256" t="s">
        <v>129</v>
      </c>
      <c r="CA4" s="256" t="s">
        <v>131</v>
      </c>
      <c r="CB4" s="256" t="s">
        <v>132</v>
      </c>
      <c r="CC4" s="256" t="s">
        <v>135</v>
      </c>
      <c r="CD4" s="256" t="s">
        <v>132</v>
      </c>
      <c r="CE4" s="256" t="s">
        <v>132</v>
      </c>
      <c r="CF4" s="256" t="s">
        <v>134</v>
      </c>
      <c r="CG4" s="256" t="s">
        <v>132</v>
      </c>
      <c r="CH4" s="247">
        <v>3</v>
      </c>
      <c r="CI4" s="247">
        <v>6</v>
      </c>
      <c r="CJ4" s="148"/>
      <c r="CK4" s="63"/>
    </row>
    <row r="5" spans="1:89">
      <c r="A5" s="41">
        <v>13.5</v>
      </c>
      <c r="B5" s="42">
        <v>1</v>
      </c>
      <c r="C5" s="10"/>
      <c r="D5" s="15" t="s">
        <v>97</v>
      </c>
      <c r="E5" s="16">
        <v>6</v>
      </c>
      <c r="F5" s="15"/>
      <c r="G5" s="39" t="s">
        <v>130</v>
      </c>
      <c r="H5" s="14">
        <v>12</v>
      </c>
      <c r="I5" s="274">
        <v>7</v>
      </c>
      <c r="J5" s="269">
        <v>16</v>
      </c>
      <c r="K5" s="10"/>
      <c r="L5" s="247" t="s">
        <v>1250</v>
      </c>
      <c r="M5" s="33">
        <v>0</v>
      </c>
      <c r="N5" s="33">
        <v>171</v>
      </c>
      <c r="O5" s="33">
        <v>351</v>
      </c>
      <c r="P5" s="248">
        <v>721</v>
      </c>
      <c r="Q5" s="248">
        <v>1501</v>
      </c>
      <c r="R5" s="248">
        <v>3501</v>
      </c>
      <c r="S5" s="248">
        <v>7001</v>
      </c>
      <c r="T5" s="248">
        <v>10501</v>
      </c>
      <c r="U5" s="248">
        <v>21001</v>
      </c>
      <c r="V5" s="248">
        <v>48001</v>
      </c>
      <c r="W5" s="248">
        <v>78001</v>
      </c>
      <c r="X5" s="248">
        <v>108001</v>
      </c>
      <c r="Y5" s="117">
        <f>138001+MAX(0,SUMIFS(INDEX(választott_kasztok,,10),INDEX(választott_kasztok,,1),$L5)-13)*38000</f>
        <v>138001</v>
      </c>
      <c r="Z5" s="10">
        <f>IF(SUMIFS(INDEX(választott_kasztok,,10),INDEX(választott_kasztok,,1),$L5)&gt;3,10,0)</f>
        <v>0</v>
      </c>
      <c r="AA5" s="10">
        <f>IF(SUMIFS(INDEX(választott_kasztok,,10),INDEX(választott_kasztok,,1),$L5)&gt;3,20,0)</f>
        <v>0</v>
      </c>
      <c r="AB5" s="10">
        <f>IF(SUMIFS(INDEX(választott_kasztok,,10),INDEX(választott_kasztok,,1),$L5)&gt;3,75,0)</f>
        <v>0</v>
      </c>
      <c r="AC5" s="10">
        <f>IF(SUMIFS(INDEX(választott_kasztok,,10),INDEX(választott_kasztok,,1),$L5)&gt;3,10,0)</f>
        <v>0</v>
      </c>
      <c r="AD5" s="37">
        <f>IF(SUMIFS(INDEX(választott_kasztok,,10),INDEX(választott_kasztok,,1),$L5)&gt;3,MAX(9,SUMIFS(INDEX(választott_kasztok,,10),INDEX(választott_kasztok,,1),$L5)*9),0)</f>
        <v>0</v>
      </c>
      <c r="AE5" s="247">
        <f>IF(SUMIFS(INDEX(választott_kasztok,,10),INDEX(választott_kasztok,,1),$L5)&gt;3,MAX(2,MIN(3,SUMIFS(INDEX(választott_kasztok,,10),INDEX(választott_kasztok,,1),$L5))*2+MAX(0,SUMIFS(INDEX(választott_kasztok,,10),INDEX(választott_kasztok,,1),$L5)-3)*3),0)</f>
        <v>0</v>
      </c>
      <c r="AF5" s="247">
        <f>IF(SUMIFS(INDEX(választott_kasztok,,10),INDEX(választott_kasztok,,1),$L5)&gt;3,MAX(2,MIN(3,SUMIFS(INDEX(választott_kasztok,,10),INDEX(választott_kasztok,,1),$L5))*2+MAX(0,SUMIFS(INDEX(választott_kasztok,,10),INDEX(választott_kasztok,,1),$L5)-3)*3),0)</f>
        <v>0</v>
      </c>
      <c r="AG5" s="20">
        <f>IF(SUMIFS(INDEX(választott_kasztok,,10),INDEX(választott_kasztok,,1),$L5)&gt;3,IF(AND(többes_kaszt=iker_kaszt,váltás_kezdet=0,váltás_kezdet&lt;&gt;""),0,4),0)</f>
        <v>0</v>
      </c>
      <c r="AH5" s="250">
        <f>IF(SUMIFS(INDEX(választott_kasztok,,10),INDEX(választott_kasztok,,1),$L5)&gt;3,3*(6-5)+MAX(10,IF(választott_kaszt_1=$L5,IF(váltás_kezdet="",VLOOKUP($L5,választott_kasztok,10,FALSE)*5,MIN(VLOOKUP($L5,választott_kasztok,10,FALSE),váltás_kezdet)*5+IF(többes_kaszt=iker_kaszt,MAX(0,VLOOKUP($L5,választott_kasztok,10,FALSE)-váltás_kezdet),0)+IF(többes_kaszt=váltott_kaszt,MAX(0,váltás_kezdet-VLOOKUP($L5,választott_kasztok,10,FALSE))*5)),0)+IF(választott_kaszt_2=$L5,VLOOKUP($L5,választott_kasztok,10,FALSE)*IF(többes_kaszt=iker_kaszt,1,5),0)),0)</f>
        <v>0</v>
      </c>
      <c r="AI5" s="10">
        <f>IF(SUMIFS(INDEX(választott_kasztok,,10),INDEX(választott_kasztok,,1),$L5)&gt;3,MAX(45,IF(AND(többes_kaszt=váltott_kaszt,választott_kaszt_1=$L5),MIN(3,váltás_kezdet)*45,MIN(3,SUMIFS(INDEX(választott_kasztok,,10),INDEX(választott_kasztok,,1),$L5))*45)),0)</f>
        <v>0</v>
      </c>
      <c r="AJ5" s="10">
        <f>IF(SUMIFS(INDEX(választott_kasztok,,10),INDEX(választott_kasztok,,1),$L5)&gt;3,5,0)</f>
        <v>0</v>
      </c>
      <c r="AK5" s="247">
        <f>IF(SUMIFS(INDEX(választott_kasztok,,10),INDEX(választott_kasztok,,1),$L5)&gt;3,6,0)</f>
        <v>0</v>
      </c>
      <c r="AL5" s="247">
        <f>IF(SUMIFS(INDEX(választott_kasztok,,10),INDEX(választott_kasztok,,1),$L5)&gt;3,MAX(1,SUMIFS(INDEX(választott_kasztok,,10),INDEX(választott_kasztok,,1),$L5))*(k6dobás+5)-(3*2),0)</f>
        <v>0</v>
      </c>
      <c r="AM5" s="247">
        <f>IF(SUMIFS(INDEX(választott_kasztok,,10),INDEX(választott_kasztok,,1),$L5)&gt;3,MAX(MAX(0,intelligencia-10),MIN(3,SUMIFS(INDEX(választott_kasztok,,10),INDEX(választott_kasztok,,1),$L5))*MAX(0,intelligencia-10)+MAX(0,SUMIFS(INDEX(választott_kasztok,,10),INDEX(választott_kasztok,,1),$L5)-3)*(6+ROUNDUP(k6dobás/2,0))),0)</f>
        <v>0</v>
      </c>
      <c r="AN5" s="250" t="s">
        <v>1183</v>
      </c>
      <c r="AO5" s="209" t="str">
        <f>IF(tanultMfkaszt=0,"00",IF(INDEX(választott_kasztok,tanultMfkaszt,1)=$L5,TEXT(tanultMfTSZ,"00"),"00"))&amp;"0101"</f>
        <v>000101</v>
      </c>
      <c r="AP5" s="248">
        <v>0</v>
      </c>
      <c r="AQ5" s="56">
        <v>25</v>
      </c>
      <c r="AR5" s="56">
        <v>5</v>
      </c>
      <c r="AS5" s="56">
        <v>10</v>
      </c>
      <c r="AT5" s="56">
        <v>20</v>
      </c>
      <c r="AU5" s="56">
        <v>10</v>
      </c>
      <c r="AV5" s="56">
        <v>5</v>
      </c>
      <c r="AW5" s="56">
        <v>5</v>
      </c>
      <c r="AX5" s="56">
        <v>10</v>
      </c>
      <c r="AY5" s="56"/>
      <c r="AZ5" s="56">
        <v>5</v>
      </c>
      <c r="BA5" s="117">
        <f>138001+MAX(0,váltás_kezdet-13)*38000</f>
        <v>138001</v>
      </c>
      <c r="BB5" s="253">
        <f t="shared" ref="BB5" si="12">MAX(SUMIFS(INDEX(dobások,,2),INDEX(dobások,,1),BX5)+SUMIFS(INDEX(fajok,,3),INDEX(fajok,,1),választott_faj),IF(AND(többes_kaszt=iker_kaszt,váltás_kezdet=1,választott_kaszt_1=$L5),SUMIFS(INDEX(kasztok,,43),INDEX(kasztok,,1),választott_kaszt_2),0))</f>
        <v>13</v>
      </c>
      <c r="BC5" s="253">
        <f t="shared" ref="BC5" si="13">MAX(SUMIFS(INDEX(dobások,,2),INDEX(dobások,,1),BY5)+SUMIFS(INDEX(fajok,,4),INDEX(fajok,,1),választott_faj),IF(AND(többes_kaszt=iker_kaszt,váltás_kezdet=1,választott_kaszt_1=$L5),SUMIFS(INDEX(kasztok,,44),INDEX(kasztok,,1),választott_kaszt_2),0))</f>
        <v>11</v>
      </c>
      <c r="BD5" s="253">
        <f t="shared" ref="BD5" si="14">MAX(SUMIFS(INDEX(dobások,,2),INDEX(dobások,,1),BZ5)+SUMIFS(INDEX(fajok,,5),INDEX(fajok,,1),választott_faj),IF(AND(többes_kaszt=iker_kaszt,váltás_kezdet=1,választott_kaszt_1=$L5),SUMIFS(INDEX(kasztok,,45),INDEX(kasztok,,1),választott_kaszt_2),0))</f>
        <v>11</v>
      </c>
      <c r="BE5" s="253">
        <f t="shared" ref="BE5" si="15">MAX(SUMIFS(INDEX(dobások,,2),INDEX(dobások,,1),CA5)+SUMIFS(INDEX(fajok,,6),INDEX(fajok,,1),választott_faj),IF(AND(többes_kaszt=iker_kaszt,váltás_kezdet=1,választott_kaszt_1=$L5),SUMIFS(INDEX(kasztok,,46),INDEX(kasztok,,1),választott_kaszt_2),0))</f>
        <v>13</v>
      </c>
      <c r="BF5" s="253">
        <f t="shared" ref="BF5" si="16">MAX(SUMIFS(INDEX(dobások,,2),INDEX(dobások,,1),CB5)+SUMIFS(INDEX(fajok,,7),INDEX(fajok,,1),választott_faj),IF(AND(többes_kaszt=iker_kaszt,váltás_kezdet=1,választott_kaszt_1=$L5),SUMIFS(INDEX(kasztok,,47),INDEX(kasztok,,1),választott_kaszt_2),0))</f>
        <v>14</v>
      </c>
      <c r="BG5" s="254">
        <f t="shared" ref="BG5" si="17">MAX(SUMIFS(INDEX(dobások,,2),INDEX(dobások,,1),CC5)+SUMIFS(INDEX(fajok,,8),INDEX(fajok,,1),választott_faj),IF(AND(többes_kaszt=iker_kaszt,váltás_kezdet=1,választott_kaszt_1=$L5),SUMIFS(INDEX(kasztok,,48),INDEX(kasztok,,1),választott_kaszt_2),0))</f>
        <v>16</v>
      </c>
      <c r="BH5" s="253">
        <f t="shared" ref="BH5" si="18">MAX(SUMIFS(INDEX(dobások,,2),INDEX(dobások,,1),CD5)+SUMIFS(INDEX(fajok,,9),INDEX(fajok,,1),választott_faj),IF(AND(többes_kaszt=iker_kaszt,váltás_kezdet=1,választott_kaszt_1=$L5),SUMIFS(INDEX(kasztok,,49),INDEX(kasztok,,1),választott_kaszt_2),0))</f>
        <v>14</v>
      </c>
      <c r="BI5" s="253">
        <f t="shared" ref="BI5" si="19">MAX(SUMIFS(INDEX(dobások,,2),INDEX(dobások,,1),CE5),IF(AND(többes_kaszt=iker_kaszt,váltás_kezdet=1,választott_kaszt_1=$L5),SUMIFS(INDEX(kasztok,,50),INDEX(kasztok,,1),választott_kaszt_2),0))</f>
        <v>14</v>
      </c>
      <c r="BJ5" s="253">
        <f t="shared" ref="BJ5" si="20">MAX(SUMIFS(INDEX(dobások,,2),INDEX(dobások,,1),CF5)+SUMIFS(INDEX(fajok,,10),INDEX(fajok,,1),választott_faj),IF(AND(többes_kaszt=iker_kaszt,váltás_kezdet=1,választott_kaszt_1=$L5),SUMIFS(INDEX(kasztok,,51),INDEX(kasztok,,1),választott_kaszt_2),0))</f>
        <v>16</v>
      </c>
      <c r="BK5" s="253">
        <f t="shared" ref="BK5" si="21">MAX(SUMIFS(INDEX(dobások,,2),INDEX(dobások,,1),CG5),IF(AND(többes_kaszt=iker_kaszt,váltás_kezdet=1,választott_kaszt_1=$L5),SUMIFS(INDEX(kasztok,,52),INDEX(kasztok,,1),választott_kaszt_2),0))</f>
        <v>14</v>
      </c>
      <c r="BL5" s="253">
        <f t="shared" si="10"/>
        <v>0</v>
      </c>
      <c r="BM5" s="255">
        <f t="shared" ref="BM5" si="22">MAX(0,erő-(SUMIFS(INDEX(dobások,,4),INDEX(dobások,,1),BX5)+SUMIFS(INDEX(fajok,,3),INDEX(fajok,,1),választott_faj)))+MAX(0,gyorsaság-(SUMIFS(INDEX(dobások,,4),INDEX(dobások,,1),BY5)+SUMIFS(INDEX(fajok,,4),INDEX(fajok,,1),választott_faj)))+MAX(0,ügyesség-(SUMIFS(INDEX(dobások,,4),INDEX(dobások,,1),BZ5)+SUMIFS(INDEX(fajok,,5),INDEX(fajok,,1),választott_faj)))+MAX(0,állóképesség-(SUMIFS(INDEX(dobások,,4),INDEX(dobások,,1),CA5)+SUMIFS(INDEX(fajok,,6),INDEX(fajok,,1),választott_faj)))+MAX(0,egészség-(SUMIFS(INDEX(dobások,,4),INDEX(dobások,,1),CB5)+SUMIFS(INDEX(fajok,,7),INDEX(fajok,,1),választott_faj)))+MAX(0,szépség-(SUMIFS(INDEX(dobások,,4),INDEX(dobások,,1),CC5)+SUMIFS(INDEX(fajok,,8),INDEX(fajok,,1),választott_faj)))+MAX(0,intelligencia-(SUMIFS(INDEX(dobások,,4),INDEX(dobások,,1),CD5)+SUMIFS(INDEX(fajok,,9),INDEX(fajok,,1),választott_faj)))+MAX(0,akaraterő-SUMIFS(INDEX(dobások,,4),INDEX(dobások,,1),CE5))+MAX(0,asztrál-(SUMIFS(INDEX(dobások,,4),INDEX(dobások,,1),CF5)+SUMIFS(INDEX(fajok,,10),INDEX(fajok,,1),választott_faj)))+MAX(0,érzékelés-SUMIFS(INDEX(dobások,,4),INDEX(dobások,,1),CG5))</f>
        <v>0</v>
      </c>
      <c r="BN5" s="256"/>
      <c r="BO5" s="256"/>
      <c r="BP5" s="256"/>
      <c r="BQ5" s="256"/>
      <c r="BR5" s="256"/>
      <c r="BS5" s="256"/>
      <c r="BT5" s="256"/>
      <c r="BU5" s="256" t="s">
        <v>262</v>
      </c>
      <c r="BV5" s="256" t="s">
        <v>262</v>
      </c>
      <c r="BW5" s="257"/>
      <c r="BX5" s="256" t="s">
        <v>131</v>
      </c>
      <c r="BY5" s="256" t="s">
        <v>129</v>
      </c>
      <c r="BZ5" s="256" t="s">
        <v>129</v>
      </c>
      <c r="CA5" s="256" t="s">
        <v>131</v>
      </c>
      <c r="CB5" s="256" t="s">
        <v>132</v>
      </c>
      <c r="CC5" s="256" t="s">
        <v>135</v>
      </c>
      <c r="CD5" s="256" t="s">
        <v>132</v>
      </c>
      <c r="CE5" s="256" t="s">
        <v>132</v>
      </c>
      <c r="CF5" s="256" t="s">
        <v>134</v>
      </c>
      <c r="CG5" s="256" t="s">
        <v>132</v>
      </c>
      <c r="CH5" s="247">
        <v>3</v>
      </c>
      <c r="CI5" s="10">
        <v>6</v>
      </c>
      <c r="CJ5" s="148"/>
      <c r="CK5" s="63"/>
    </row>
    <row r="6" spans="1:89">
      <c r="A6" s="41">
        <v>14</v>
      </c>
      <c r="B6" s="42">
        <v>1</v>
      </c>
      <c r="C6" s="10"/>
      <c r="D6" s="15" t="s">
        <v>98</v>
      </c>
      <c r="E6" s="16">
        <v>7</v>
      </c>
      <c r="F6" s="15"/>
      <c r="G6" s="39" t="s">
        <v>131</v>
      </c>
      <c r="H6" s="14">
        <v>13</v>
      </c>
      <c r="I6" s="274">
        <v>8</v>
      </c>
      <c r="J6" s="269">
        <v>18</v>
      </c>
      <c r="K6" s="10"/>
      <c r="L6" s="265" t="s">
        <v>103</v>
      </c>
      <c r="M6" s="33">
        <v>0</v>
      </c>
      <c r="N6" s="33">
        <v>186</v>
      </c>
      <c r="O6" s="33">
        <v>373</v>
      </c>
      <c r="P6" s="33">
        <v>745</v>
      </c>
      <c r="Q6" s="33">
        <v>1489</v>
      </c>
      <c r="R6" s="33">
        <v>2977</v>
      </c>
      <c r="S6" s="33">
        <v>5953</v>
      </c>
      <c r="T6" s="33">
        <v>11901</v>
      </c>
      <c r="U6" s="33">
        <v>23801</v>
      </c>
      <c r="V6" s="33">
        <v>47601</v>
      </c>
      <c r="W6" s="33">
        <v>71401</v>
      </c>
      <c r="X6" s="33">
        <v>101001</v>
      </c>
      <c r="Y6" s="34">
        <f>151001+MAX(0,SUMIFS(INDEX(választott_kasztok,,10),INDEX(választott_kasztok,,1),$L6)-13)*40500</f>
        <v>151001</v>
      </c>
      <c r="Z6" s="10">
        <v>8</v>
      </c>
      <c r="AA6" s="10">
        <v>22</v>
      </c>
      <c r="AB6" s="10">
        <v>73</v>
      </c>
      <c r="AC6" s="10">
        <v>10</v>
      </c>
      <c r="AD6" s="10">
        <f>MAX(10,SUMIFS(INDEX(választott_kasztok,,10),INDEX(választott_kasztok,,1),$L6)*10)</f>
        <v>10</v>
      </c>
      <c r="AE6" s="37">
        <f>MAX(0,SUMIFS(INDEX(választott_kasztok,,10),INDEX(választott_kasztok,,1),$L6)*0)</f>
        <v>0</v>
      </c>
      <c r="AF6" s="37">
        <f>MAX(0,SUMIFS(INDEX(választott_kasztok,,10),INDEX(választott_kasztok,,1),$L6)*0)</f>
        <v>0</v>
      </c>
      <c r="AG6" s="20">
        <f>IF(AND(többes_kaszt=iker_kaszt,váltás_kezdet=0,váltás_kezdet&lt;&gt;""),0,8)</f>
        <v>8</v>
      </c>
      <c r="AH6" s="10">
        <f>MAX(0,IF(választott_kaszt_1=$L6,IF(váltás_kezdet="",MAX(0,VLOOKUP($L6,választott_kasztok,10,FALSE)-1)*8,MIN(VLOOKUP($L6,választott_kasztok,10,FALSE),váltás_kezdet)*8+IF(többes_kaszt=iker_kaszt,MAX(0,VLOOKUP($L6,választott_kasztok,10,FALSE)-váltás_kezdet),0)+IF(többes_kaszt=váltott_kaszt,MAX(0,váltás_kezdet-VLOOKUP($L6,választott_kasztok,10,FALSE))*8)),0)+IF(választott_kaszt_2=$L6,VLOOKUP($L6,választott_kasztok,10,FALSE)*IF(többes_kaszt=iker_kaszt,1,8),0))</f>
        <v>0</v>
      </c>
      <c r="AI6" s="10">
        <v>0</v>
      </c>
      <c r="AJ6" s="10">
        <v>7</v>
      </c>
      <c r="AK6" s="10">
        <v>7</v>
      </c>
      <c r="AL6" s="10">
        <f>MAX(1,SUMIFS(INDEX(választott_kasztok,,10),INDEX(választott_kasztok,,1),$L6))*(k6dobás+4)</f>
        <v>10</v>
      </c>
      <c r="AM6" s="10"/>
      <c r="AN6" s="20" t="s">
        <v>107</v>
      </c>
      <c r="AO6" s="208"/>
      <c r="AP6" s="33">
        <v>0</v>
      </c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117">
        <f>151001+MAX(0,váltás_kezdet-13)*40500</f>
        <v>151001</v>
      </c>
      <c r="BB6" s="17">
        <f t="shared" si="0"/>
        <v>13</v>
      </c>
      <c r="BC6" s="17">
        <f t="shared" si="1"/>
        <v>14</v>
      </c>
      <c r="BD6" s="17">
        <f t="shared" si="2"/>
        <v>14</v>
      </c>
      <c r="BE6" s="17">
        <f t="shared" si="3"/>
        <v>13</v>
      </c>
      <c r="BF6" s="17">
        <f t="shared" si="4"/>
        <v>13</v>
      </c>
      <c r="BG6" s="17">
        <f t="shared" si="5"/>
        <v>14</v>
      </c>
      <c r="BH6" s="17">
        <f t="shared" si="6"/>
        <v>11</v>
      </c>
      <c r="BI6" s="17">
        <f t="shared" si="7"/>
        <v>13</v>
      </c>
      <c r="BJ6" s="17">
        <f t="shared" si="8"/>
        <v>11</v>
      </c>
      <c r="BK6" s="17">
        <f t="shared" si="9"/>
        <v>14</v>
      </c>
      <c r="BL6" s="17">
        <f t="shared" si="10"/>
        <v>0</v>
      </c>
      <c r="BM6" s="13">
        <f t="shared" si="11"/>
        <v>0</v>
      </c>
      <c r="BN6" s="12"/>
      <c r="BO6" s="12"/>
      <c r="BP6" s="12"/>
      <c r="BQ6" s="12"/>
      <c r="BR6" s="12"/>
      <c r="BS6" s="12"/>
      <c r="BT6" s="12"/>
      <c r="BU6" s="12"/>
      <c r="BV6" s="12"/>
      <c r="BW6" s="51"/>
      <c r="BX6" s="12" t="s">
        <v>131</v>
      </c>
      <c r="BY6" s="12" t="s">
        <v>132</v>
      </c>
      <c r="BZ6" s="12" t="s">
        <v>132</v>
      </c>
      <c r="CA6" s="12" t="s">
        <v>131</v>
      </c>
      <c r="CB6" s="12" t="s">
        <v>131</v>
      </c>
      <c r="CC6" s="12" t="s">
        <v>132</v>
      </c>
      <c r="CD6" s="12" t="s">
        <v>129</v>
      </c>
      <c r="CE6" s="12" t="s">
        <v>131</v>
      </c>
      <c r="CF6" s="12" t="s">
        <v>129</v>
      </c>
      <c r="CG6" s="12" t="s">
        <v>132</v>
      </c>
      <c r="CH6" s="20">
        <v>1</v>
      </c>
      <c r="CI6" s="10">
        <v>18</v>
      </c>
      <c r="CJ6" s="148"/>
      <c r="CK6" s="63"/>
    </row>
    <row r="7" spans="1:89" ht="15.75" thickBot="1">
      <c r="A7" s="41">
        <v>14.5</v>
      </c>
      <c r="B7" s="42">
        <v>3</v>
      </c>
      <c r="C7" s="10"/>
      <c r="D7" s="30" t="s">
        <v>1182</v>
      </c>
      <c r="E7" s="27">
        <v>8</v>
      </c>
      <c r="F7" s="15"/>
      <c r="G7" s="39" t="s">
        <v>132</v>
      </c>
      <c r="H7" s="14">
        <v>14</v>
      </c>
      <c r="I7" s="274">
        <v>9</v>
      </c>
      <c r="J7" s="269">
        <v>18</v>
      </c>
      <c r="K7" s="10"/>
      <c r="L7" s="10" t="s">
        <v>285</v>
      </c>
      <c r="M7" s="33">
        <v>0</v>
      </c>
      <c r="N7" s="33">
        <v>161</v>
      </c>
      <c r="O7" s="33">
        <v>331</v>
      </c>
      <c r="P7" s="33">
        <v>661</v>
      </c>
      <c r="Q7" s="33">
        <v>1301</v>
      </c>
      <c r="R7" s="33">
        <v>2601</v>
      </c>
      <c r="S7" s="33">
        <v>5001</v>
      </c>
      <c r="T7" s="33">
        <v>9001</v>
      </c>
      <c r="U7" s="33">
        <v>23001</v>
      </c>
      <c r="V7" s="33">
        <v>50001</v>
      </c>
      <c r="W7" s="33">
        <v>90001</v>
      </c>
      <c r="X7" s="33">
        <v>130001</v>
      </c>
      <c r="Y7" s="34">
        <f>165001+MAX(0,SUMIFS(INDEX(választott_kasztok,,10),INDEX(választott_kasztok,,1),$L7)-13)*50000</f>
        <v>165001</v>
      </c>
      <c r="Z7" s="10">
        <v>5</v>
      </c>
      <c r="AA7" s="10">
        <v>17</v>
      </c>
      <c r="AB7" s="10">
        <v>72</v>
      </c>
      <c r="AC7" s="10">
        <v>0</v>
      </c>
      <c r="AD7" s="10">
        <f>MAX(8,SUMIFS(INDEX(választott_kasztok,,10),INDEX(választott_kasztok,,1),$L7)*8)</f>
        <v>8</v>
      </c>
      <c r="AE7" s="10">
        <f>MAX(3,SUMIFS(INDEX(választott_kasztok,,10),INDEX(választott_kasztok,,1),$L7)*3)</f>
        <v>3</v>
      </c>
      <c r="AF7" s="10">
        <f>MAX(3,SUMIFS(INDEX(választott_kasztok,,10),INDEX(választott_kasztok,,1),$L7)*3)</f>
        <v>3</v>
      </c>
      <c r="AG7" s="20">
        <f>IF(AND(többes_kaszt=iker_kaszt,váltás_kezdet=0,váltás_kezdet&lt;&gt;""),0,6)</f>
        <v>6</v>
      </c>
      <c r="AH7" s="10">
        <f>MAX(0,IF(választott_kaszt_1=$L7,IF(váltás_kezdet="",VLOOKUP($L7,választott_kasztok,10,FALSE)*10,MIN(VLOOKUP($L7,választott_kasztok,10,FALSE),váltás_kezdet)*10+IF(többes_kaszt=iker_kaszt,MAX(0,VLOOKUP($L7,választott_kasztok,10,FALSE)-váltás_kezdet),0)+IF(többes_kaszt=váltott_kaszt,MAX(0,váltás_kezdet-VLOOKUP($L7,választott_kasztok,10,FALSE))*10)),0)+IF(választott_kaszt_2=$L7,VLOOKUP($L7,választott_kasztok,10,FALSE)*IF(többes_kaszt=iker_kaszt,1,10),0))</f>
        <v>0</v>
      </c>
      <c r="AI7" s="10">
        <v>0</v>
      </c>
      <c r="AJ7" s="10">
        <v>6</v>
      </c>
      <c r="AK7" s="10">
        <v>6</v>
      </c>
      <c r="AL7" s="10">
        <f>MAX(1,SUMIFS(INDEX(választott_kasztok,,10),INDEX(választott_kasztok,,1),$L7))*(k6dobás+2)</f>
        <v>8</v>
      </c>
      <c r="AM7" s="10">
        <f>MAX(9,MIN(1,SUMIFS(INDEX(választott_kasztok,,10),INDEX(választott_kasztok,,1),$L7))*9+MAX(0,SUMIFS(INDEX(választott_kasztok,,10),INDEX(választott_kasztok,,1),$L7)-1)*(6+ROUNDUP(k6dobás/2,0)))</f>
        <v>9</v>
      </c>
      <c r="AN7" s="20" t="s">
        <v>1183</v>
      </c>
      <c r="AO7" s="209"/>
      <c r="AP7" s="33">
        <v>0</v>
      </c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117">
        <f>165001+MAX(0,váltás_kezdet-13)*50000</f>
        <v>165001</v>
      </c>
      <c r="BB7" s="17">
        <f t="shared" si="0"/>
        <v>13</v>
      </c>
      <c r="BC7" s="17">
        <f t="shared" si="1"/>
        <v>11</v>
      </c>
      <c r="BD7" s="17">
        <f t="shared" si="2"/>
        <v>11</v>
      </c>
      <c r="BE7" s="17">
        <f t="shared" si="3"/>
        <v>13</v>
      </c>
      <c r="BF7" s="17">
        <f t="shared" si="4"/>
        <v>14</v>
      </c>
      <c r="BG7" s="116">
        <f t="shared" si="5"/>
        <v>16</v>
      </c>
      <c r="BH7" s="17">
        <f t="shared" si="6"/>
        <v>14</v>
      </c>
      <c r="BI7" s="17">
        <f t="shared" si="7"/>
        <v>14</v>
      </c>
      <c r="BJ7" s="17">
        <f t="shared" si="8"/>
        <v>16</v>
      </c>
      <c r="BK7" s="17">
        <f t="shared" si="9"/>
        <v>14</v>
      </c>
      <c r="BL7" s="17">
        <f t="shared" si="10"/>
        <v>0</v>
      </c>
      <c r="BM7" s="13">
        <f t="shared" si="11"/>
        <v>0</v>
      </c>
      <c r="BN7" s="12"/>
      <c r="BO7" s="12"/>
      <c r="BP7" s="12"/>
      <c r="BQ7" s="12"/>
      <c r="BR7" s="12"/>
      <c r="BS7" s="12"/>
      <c r="BT7" s="12"/>
      <c r="BU7" s="12" t="s">
        <v>262</v>
      </c>
      <c r="BV7" s="12" t="s">
        <v>262</v>
      </c>
      <c r="BW7" s="51"/>
      <c r="BX7" s="12" t="s">
        <v>131</v>
      </c>
      <c r="BY7" s="12" t="s">
        <v>129</v>
      </c>
      <c r="BZ7" s="12" t="s">
        <v>129</v>
      </c>
      <c r="CA7" s="12" t="s">
        <v>131</v>
      </c>
      <c r="CB7" s="12" t="s">
        <v>132</v>
      </c>
      <c r="CC7" s="12" t="s">
        <v>135</v>
      </c>
      <c r="CD7" s="12" t="s">
        <v>132</v>
      </c>
      <c r="CE7" s="12" t="s">
        <v>132</v>
      </c>
      <c r="CF7" s="12" t="s">
        <v>134</v>
      </c>
      <c r="CG7" s="12" t="s">
        <v>132</v>
      </c>
      <c r="CH7" s="10">
        <v>3</v>
      </c>
      <c r="CI7" s="10">
        <v>6</v>
      </c>
      <c r="CJ7" s="148"/>
      <c r="CK7" s="63"/>
    </row>
    <row r="8" spans="1:89">
      <c r="A8" s="41">
        <v>15</v>
      </c>
      <c r="B8" s="42">
        <v>3</v>
      </c>
      <c r="C8" s="10"/>
      <c r="D8" s="10"/>
      <c r="E8" s="10"/>
      <c r="F8" s="14"/>
      <c r="G8" s="39" t="s">
        <v>133</v>
      </c>
      <c r="H8" s="14">
        <v>15</v>
      </c>
      <c r="I8" s="274">
        <v>9</v>
      </c>
      <c r="J8" s="269">
        <v>18</v>
      </c>
      <c r="K8" s="10"/>
      <c r="L8" s="10" t="s">
        <v>1010</v>
      </c>
      <c r="M8" s="33">
        <v>0</v>
      </c>
      <c r="N8" s="33">
        <v>161</v>
      </c>
      <c r="O8" s="33">
        <v>331</v>
      </c>
      <c r="P8" s="33">
        <v>661</v>
      </c>
      <c r="Q8" s="33">
        <v>1301</v>
      </c>
      <c r="R8" s="33">
        <v>2601</v>
      </c>
      <c r="S8" s="33">
        <v>5001</v>
      </c>
      <c r="T8" s="33">
        <v>9001</v>
      </c>
      <c r="U8" s="33">
        <v>23001</v>
      </c>
      <c r="V8" s="33">
        <v>50001</v>
      </c>
      <c r="W8" s="33">
        <v>90001</v>
      </c>
      <c r="X8" s="33">
        <v>130001</v>
      </c>
      <c r="Y8" s="34">
        <f>165001+MAX(0,SUMIFS(INDEX(választott_kasztok,,10),INDEX(választott_kasztok,,1),$L8)-13)*50000</f>
        <v>165001</v>
      </c>
      <c r="Z8" s="10">
        <v>9</v>
      </c>
      <c r="AA8" s="10">
        <v>18</v>
      </c>
      <c r="AB8" s="10">
        <v>73</v>
      </c>
      <c r="AC8" s="10">
        <v>10</v>
      </c>
      <c r="AD8" s="10">
        <f>MAX(9,SUMIFS(INDEX(választott_kasztok,,10),INDEX(választott_kasztok,,1),$L8)*9)</f>
        <v>9</v>
      </c>
      <c r="AE8" s="10">
        <f t="shared" ref="AE8:AE15" si="23">MAX(4,SUMIFS(INDEX(választott_kasztok,,10),INDEX(választott_kasztok,,1),$L8)*4)</f>
        <v>4</v>
      </c>
      <c r="AF8" s="37">
        <f>MAX(0,SUMIFS(INDEX(választott_kasztok,,10),INDEX(választott_kasztok,,1),$L8)*0)</f>
        <v>0</v>
      </c>
      <c r="AG8" s="20">
        <f>IF(AND(többes_kaszt=iker_kaszt,váltás_kezdet=0,váltás_kezdet&lt;&gt;""),0,6)</f>
        <v>6</v>
      </c>
      <c r="AH8" s="10">
        <f>MAX(0,IF(választott_kaszt_1=$L8,IF(váltás_kezdet="",VLOOKUP($L8,választott_kasztok,10,FALSE)*10,MIN(VLOOKUP($L8,választott_kasztok,10,FALSE),váltás_kezdet)*10+IF(többes_kaszt=iker_kaszt,MAX(0,VLOOKUP($L8,választott_kasztok,10,FALSE)-váltás_kezdet),0)+IF(többes_kaszt=váltott_kaszt,MAX(0,váltás_kezdet-VLOOKUP($L8,választott_kasztok,10,FALSE))*10)),0)+IF(választott_kaszt_2=$L8,VLOOKUP($L8,választott_kasztok,10,FALSE)*IF(többes_kaszt=iker_kaszt,1,10),0))</f>
        <v>0</v>
      </c>
      <c r="AI8" s="10">
        <v>0</v>
      </c>
      <c r="AJ8" s="10">
        <v>6</v>
      </c>
      <c r="AK8" s="10">
        <v>6</v>
      </c>
      <c r="AL8" s="10">
        <f>MAX(1,SUMIFS(INDEX(választott_kasztok,,10),INDEX(választott_kasztok,,1),$L8))*(k6dobás+2)</f>
        <v>8</v>
      </c>
      <c r="AM8" s="10">
        <f>MAX(9,MIN(1,SUMIFS(INDEX(választott_kasztok,,10),INDEX(választott_kasztok,,1),$L8))*9+MAX(0,SUMIFS(INDEX(választott_kasztok,,10),INDEX(választott_kasztok,,1),$L8)-1)*(6+ROUNDUP(k6dobás/2,0)))</f>
        <v>9</v>
      </c>
      <c r="AN8" s="20" t="s">
        <v>1183</v>
      </c>
      <c r="AO8" s="209"/>
      <c r="AP8" s="33">
        <v>0</v>
      </c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117">
        <f>165001+MAX(0,váltás_kezdet-13)*50000</f>
        <v>165001</v>
      </c>
      <c r="BB8" s="17">
        <f t="shared" ref="BB8" si="24">MAX(SUMIFS(INDEX(dobások,,2),INDEX(dobások,,1),BX8)+SUMIFS(INDEX(fajok,,3),INDEX(fajok,,1),választott_faj),IF(AND(többes_kaszt=iker_kaszt,váltás_kezdet=1,választott_kaszt_1=$L8),SUMIFS(INDEX(kasztok,,43),INDEX(kasztok,,1),választott_kaszt_2),0))</f>
        <v>13</v>
      </c>
      <c r="BC8" s="17">
        <f t="shared" ref="BC8" si="25">MAX(SUMIFS(INDEX(dobások,,2),INDEX(dobások,,1),BY8)+SUMIFS(INDEX(fajok,,4),INDEX(fajok,,1),választott_faj),IF(AND(többes_kaszt=iker_kaszt,váltás_kezdet=1,választott_kaszt_1=$L8),SUMIFS(INDEX(kasztok,,44),INDEX(kasztok,,1),választott_kaszt_2),0))</f>
        <v>11</v>
      </c>
      <c r="BD8" s="17">
        <f t="shared" ref="BD8" si="26">MAX(SUMIFS(INDEX(dobások,,2),INDEX(dobások,,1),BZ8)+SUMIFS(INDEX(fajok,,5),INDEX(fajok,,1),választott_faj),IF(AND(többes_kaszt=iker_kaszt,váltás_kezdet=1,választott_kaszt_1=$L8),SUMIFS(INDEX(kasztok,,45),INDEX(kasztok,,1),választott_kaszt_2),0))</f>
        <v>11</v>
      </c>
      <c r="BE8" s="17">
        <f t="shared" ref="BE8" si="27">MAX(SUMIFS(INDEX(dobások,,2),INDEX(dobások,,1),CA8)+SUMIFS(INDEX(fajok,,6),INDEX(fajok,,1),választott_faj),IF(AND(többes_kaszt=iker_kaszt,váltás_kezdet=1,választott_kaszt_1=$L8),SUMIFS(INDEX(kasztok,,46),INDEX(kasztok,,1),választott_kaszt_2),0))</f>
        <v>13</v>
      </c>
      <c r="BF8" s="17">
        <f t="shared" ref="BF8" si="28">MAX(SUMIFS(INDEX(dobások,,2),INDEX(dobások,,1),CB8)+SUMIFS(INDEX(fajok,,7),INDEX(fajok,,1),választott_faj),IF(AND(többes_kaszt=iker_kaszt,váltás_kezdet=1,választott_kaszt_1=$L8),SUMIFS(INDEX(kasztok,,47),INDEX(kasztok,,1),választott_kaszt_2),0))</f>
        <v>14</v>
      </c>
      <c r="BG8" s="116">
        <f t="shared" ref="BG8" si="29">MAX(SUMIFS(INDEX(dobások,,2),INDEX(dobások,,1),CC8)+SUMIFS(INDEX(fajok,,8),INDEX(fajok,,1),választott_faj),IF(AND(többes_kaszt=iker_kaszt,váltás_kezdet=1,választott_kaszt_1=$L8),SUMIFS(INDEX(kasztok,,48),INDEX(kasztok,,1),választott_kaszt_2),0))</f>
        <v>16</v>
      </c>
      <c r="BH8" s="17">
        <f t="shared" ref="BH8" si="30">MAX(SUMIFS(INDEX(dobások,,2),INDEX(dobások,,1),CD8)+SUMIFS(INDEX(fajok,,9),INDEX(fajok,,1),választott_faj),IF(AND(többes_kaszt=iker_kaszt,váltás_kezdet=1,választott_kaszt_1=$L8),SUMIFS(INDEX(kasztok,,49),INDEX(kasztok,,1),választott_kaszt_2),0))</f>
        <v>14</v>
      </c>
      <c r="BI8" s="116">
        <f t="shared" ref="BI8" si="31">MAX(SUMIFS(INDEX(dobások,,2),INDEX(dobások,,1),CE8),IF(AND(többes_kaszt=iker_kaszt,váltás_kezdet=1,választott_kaszt_1=$L8),SUMIFS(INDEX(kasztok,,50),INDEX(kasztok,,1),választott_kaszt_2),0))</f>
        <v>14</v>
      </c>
      <c r="BJ8" s="17">
        <f t="shared" ref="BJ8" si="32">MAX(SUMIFS(INDEX(dobások,,2),INDEX(dobások,,1),CF8)+SUMIFS(INDEX(fajok,,10),INDEX(fajok,,1),választott_faj),IF(AND(többes_kaszt=iker_kaszt,váltás_kezdet=1,választott_kaszt_1=$L8),SUMIFS(INDEX(kasztok,,51),INDEX(kasztok,,1),választott_kaszt_2),0))</f>
        <v>16</v>
      </c>
      <c r="BK8" s="17">
        <f t="shared" ref="BK8" si="33">MAX(SUMIFS(INDEX(dobások,,2),INDEX(dobások,,1),CG8),IF(AND(többes_kaszt=iker_kaszt,váltás_kezdet=1,választott_kaszt_1=$L8),SUMIFS(INDEX(kasztok,,52),INDEX(kasztok,,1),választott_kaszt_2),0))</f>
        <v>14</v>
      </c>
      <c r="BL8" s="17">
        <f t="shared" si="10"/>
        <v>0</v>
      </c>
      <c r="BM8" s="13">
        <f t="shared" ref="BM8" si="34">MAX(0,erő-(SUMIFS(INDEX(dobások,,4),INDEX(dobások,,1),BX8)+SUMIFS(INDEX(fajok,,3),INDEX(fajok,,1),választott_faj)))+MAX(0,gyorsaság-(SUMIFS(INDEX(dobások,,4),INDEX(dobások,,1),BY8)+SUMIFS(INDEX(fajok,,4),INDEX(fajok,,1),választott_faj)))+MAX(0,ügyesség-(SUMIFS(INDEX(dobások,,4),INDEX(dobások,,1),BZ8)+SUMIFS(INDEX(fajok,,5),INDEX(fajok,,1),választott_faj)))+MAX(0,állóképesség-(SUMIFS(INDEX(dobások,,4),INDEX(dobások,,1),CA8)+SUMIFS(INDEX(fajok,,6),INDEX(fajok,,1),választott_faj)))+MAX(0,egészség-(SUMIFS(INDEX(dobások,,4),INDEX(dobások,,1),CB8)+SUMIFS(INDEX(fajok,,7),INDEX(fajok,,1),választott_faj)))+MAX(0,szépség-(SUMIFS(INDEX(dobások,,4),INDEX(dobások,,1),CC8)+SUMIFS(INDEX(fajok,,8),INDEX(fajok,,1),választott_faj)))+MAX(0,intelligencia-(SUMIFS(INDEX(dobások,,4),INDEX(dobások,,1),CD8)+SUMIFS(INDEX(fajok,,9),INDEX(fajok,,1),választott_faj)))+MAX(0,akaraterő-SUMIFS(INDEX(dobások,,4),INDEX(dobások,,1),CE8))+MAX(0,asztrál-(SUMIFS(INDEX(dobások,,4),INDEX(dobások,,1),CF8)+SUMIFS(INDEX(fajok,,10),INDEX(fajok,,1),választott_faj)))+MAX(0,érzékelés-SUMIFS(INDEX(dobások,,4),INDEX(dobások,,1),CG8))</f>
        <v>0</v>
      </c>
      <c r="BN8" s="12"/>
      <c r="BO8" s="12"/>
      <c r="BP8" s="12"/>
      <c r="BQ8" s="12"/>
      <c r="BR8" s="12"/>
      <c r="BS8" s="12"/>
      <c r="BT8" s="12"/>
      <c r="BU8" s="12" t="s">
        <v>262</v>
      </c>
      <c r="BV8" s="12" t="s">
        <v>262</v>
      </c>
      <c r="BW8" s="51"/>
      <c r="BX8" s="12" t="s">
        <v>131</v>
      </c>
      <c r="BY8" s="12" t="s">
        <v>129</v>
      </c>
      <c r="BZ8" s="12" t="s">
        <v>129</v>
      </c>
      <c r="CA8" s="12" t="s">
        <v>131</v>
      </c>
      <c r="CB8" s="12" t="s">
        <v>132</v>
      </c>
      <c r="CC8" s="12" t="s">
        <v>135</v>
      </c>
      <c r="CD8" s="12" t="s">
        <v>132</v>
      </c>
      <c r="CE8" s="12" t="s">
        <v>132</v>
      </c>
      <c r="CF8" s="12" t="s">
        <v>134</v>
      </c>
      <c r="CG8" s="12" t="s">
        <v>132</v>
      </c>
      <c r="CH8" s="20">
        <v>5</v>
      </c>
      <c r="CI8" s="10">
        <v>6</v>
      </c>
      <c r="CJ8" s="148"/>
      <c r="CK8" s="63"/>
    </row>
    <row r="9" spans="1:89" ht="15.75" thickBot="1">
      <c r="A9" s="41">
        <v>15.5</v>
      </c>
      <c r="B9" s="42">
        <v>5</v>
      </c>
      <c r="C9" s="10"/>
      <c r="D9" s="10"/>
      <c r="E9" s="10"/>
      <c r="F9" s="14"/>
      <c r="G9" s="39" t="s">
        <v>134</v>
      </c>
      <c r="H9" s="14">
        <v>16</v>
      </c>
      <c r="I9" s="274">
        <v>13</v>
      </c>
      <c r="J9" s="269">
        <v>18</v>
      </c>
      <c r="K9" s="10"/>
      <c r="L9" s="10" t="s">
        <v>353</v>
      </c>
      <c r="M9" s="33">
        <v>0</v>
      </c>
      <c r="N9" s="33">
        <v>161</v>
      </c>
      <c r="O9" s="33">
        <v>331</v>
      </c>
      <c r="P9" s="33">
        <v>661</v>
      </c>
      <c r="Q9" s="33">
        <v>1301</v>
      </c>
      <c r="R9" s="33">
        <v>2601</v>
      </c>
      <c r="S9" s="33">
        <v>5001</v>
      </c>
      <c r="T9" s="33">
        <v>9001</v>
      </c>
      <c r="U9" s="33">
        <v>23001</v>
      </c>
      <c r="V9" s="33">
        <v>50001</v>
      </c>
      <c r="W9" s="33">
        <v>90001</v>
      </c>
      <c r="X9" s="33">
        <v>130001</v>
      </c>
      <c r="Y9" s="34">
        <f>165001+MAX(0,SUMIFS(INDEX(választott_kasztok,,10),INDEX(választott_kasztok,,1),$L9)-13)*50000</f>
        <v>165001</v>
      </c>
      <c r="Z9" s="10">
        <v>9</v>
      </c>
      <c r="AA9" s="10">
        <v>18</v>
      </c>
      <c r="AB9" s="10">
        <v>73</v>
      </c>
      <c r="AC9" s="37">
        <f>MAX(0,ügyesség+5)</f>
        <v>5</v>
      </c>
      <c r="AD9" s="10">
        <f>MAX(9,SUMIFS(INDEX(választott_kasztok,,10),INDEX(választott_kasztok,,1),$L9)*9)</f>
        <v>9</v>
      </c>
      <c r="AE9" s="10">
        <f t="shared" si="23"/>
        <v>4</v>
      </c>
      <c r="AF9" s="37">
        <f>MAX(0,SUMIFS(INDEX(választott_kasztok,,10),INDEX(választott_kasztok,,1),$L9)*0)</f>
        <v>0</v>
      </c>
      <c r="AG9" s="20">
        <f>IF(AND(többes_kaszt=iker_kaszt,váltás_kezdet=0,váltás_kezdet&lt;&gt;""),0,6)</f>
        <v>6</v>
      </c>
      <c r="AH9" s="10">
        <f>MAX(0,IF(választott_kaszt_1=$L9,IF(váltás_kezdet="",VLOOKUP($L9,választott_kasztok,10,FALSE)*10,MIN(VLOOKUP($L9,választott_kasztok,10,FALSE),váltás_kezdet)*10+IF(többes_kaszt=iker_kaszt,MAX(0,VLOOKUP($L9,választott_kasztok,10,FALSE)-váltás_kezdet),0)+IF(többes_kaszt=váltott_kaszt,MAX(0,váltás_kezdet-VLOOKUP($L9,választott_kasztok,10,FALSE))*10)),0)+IF(választott_kaszt_2=$L9,VLOOKUP($L9,választott_kasztok,10,FALSE)*IF(többes_kaszt=iker_kaszt,1,10),0))</f>
        <v>0</v>
      </c>
      <c r="AI9" s="10">
        <v>0</v>
      </c>
      <c r="AJ9" s="10">
        <v>6</v>
      </c>
      <c r="AK9" s="10">
        <v>6</v>
      </c>
      <c r="AL9" s="10">
        <f>MAX(1,SUMIFS(INDEX(választott_kasztok,,10),INDEX(választott_kasztok,,1),$L9))*(k6dobás+2)</f>
        <v>8</v>
      </c>
      <c r="AM9" s="10">
        <f>MAX(9,MIN(1,SUMIFS(INDEX(választott_kasztok,,10),INDEX(választott_kasztok,,1),$L9))*9+MAX(0,SUMIFS(INDEX(választott_kasztok,,10),INDEX(választott_kasztok,,1),$L9)-1)*(6+ROUNDUP(k6dobás/2,0)))</f>
        <v>9</v>
      </c>
      <c r="AN9" s="20" t="s">
        <v>1183</v>
      </c>
      <c r="AO9" s="209" t="str">
        <f>IF(tanultMfkaszt=0,"00",IF(INDEX(választott_kasztok,tanultMfkaszt,1)=$L9,TEXT(tanultMfTSZ,"00"),"00"))&amp;"0102"</f>
        <v>000102</v>
      </c>
      <c r="AP9" s="33">
        <v>0</v>
      </c>
      <c r="AQ9" s="56"/>
      <c r="AR9" s="56">
        <f>IF(SUMIFS(INDEX(választott_kasztok,,10),INDEX(választott_kasztok,,1),$L9)&gt;=3,30,0)</f>
        <v>0</v>
      </c>
      <c r="AS9" s="56"/>
      <c r="AT9" s="56"/>
      <c r="AU9" s="56"/>
      <c r="AV9" s="56"/>
      <c r="AW9" s="56"/>
      <c r="AX9" s="56"/>
      <c r="AY9" s="56"/>
      <c r="AZ9" s="56"/>
      <c r="BA9" s="117">
        <f>165001+MAX(0,váltás_kezdet-13)*50000</f>
        <v>165001</v>
      </c>
      <c r="BB9" s="17">
        <f t="shared" si="0"/>
        <v>13</v>
      </c>
      <c r="BC9" s="17">
        <f t="shared" si="1"/>
        <v>11</v>
      </c>
      <c r="BD9" s="17">
        <f t="shared" si="2"/>
        <v>11</v>
      </c>
      <c r="BE9" s="17">
        <f t="shared" si="3"/>
        <v>13</v>
      </c>
      <c r="BF9" s="17">
        <f t="shared" si="4"/>
        <v>14</v>
      </c>
      <c r="BG9" s="116">
        <f t="shared" si="5"/>
        <v>16</v>
      </c>
      <c r="BH9" s="17">
        <f t="shared" si="6"/>
        <v>14</v>
      </c>
      <c r="BI9" s="116">
        <f t="shared" si="7"/>
        <v>18</v>
      </c>
      <c r="BJ9" s="17">
        <f t="shared" si="8"/>
        <v>16</v>
      </c>
      <c r="BK9" s="17">
        <f t="shared" si="9"/>
        <v>14</v>
      </c>
      <c r="BL9" s="17">
        <f t="shared" si="10"/>
        <v>0</v>
      </c>
      <c r="BM9" s="13">
        <f t="shared" si="11"/>
        <v>0</v>
      </c>
      <c r="BN9" s="12"/>
      <c r="BO9" s="12"/>
      <c r="BP9" s="12"/>
      <c r="BQ9" s="12"/>
      <c r="BR9" s="12"/>
      <c r="BS9" s="12"/>
      <c r="BT9" s="12"/>
      <c r="BU9" s="12"/>
      <c r="BV9" s="12" t="s">
        <v>262</v>
      </c>
      <c r="BW9" s="51"/>
      <c r="BX9" s="12" t="s">
        <v>131</v>
      </c>
      <c r="BY9" s="12" t="s">
        <v>129</v>
      </c>
      <c r="BZ9" s="12" t="s">
        <v>129</v>
      </c>
      <c r="CA9" s="12" t="s">
        <v>131</v>
      </c>
      <c r="CB9" s="12" t="s">
        <v>132</v>
      </c>
      <c r="CC9" s="12" t="s">
        <v>135</v>
      </c>
      <c r="CD9" s="12" t="s">
        <v>132</v>
      </c>
      <c r="CE9" s="12" t="s">
        <v>136</v>
      </c>
      <c r="CF9" s="12" t="s">
        <v>134</v>
      </c>
      <c r="CG9" s="12" t="s">
        <v>132</v>
      </c>
      <c r="CH9" s="10">
        <v>3</v>
      </c>
      <c r="CI9" s="10">
        <v>6</v>
      </c>
      <c r="CJ9" s="148"/>
      <c r="CK9" s="63"/>
    </row>
    <row r="10" spans="1:89" ht="16.5" thickBot="1">
      <c r="A10" s="41">
        <v>16</v>
      </c>
      <c r="B10" s="42">
        <v>5</v>
      </c>
      <c r="C10" s="10"/>
      <c r="D10" s="285" t="s">
        <v>1271</v>
      </c>
      <c r="E10" s="286" t="s">
        <v>1273</v>
      </c>
      <c r="F10" s="14"/>
      <c r="G10" s="39" t="s">
        <v>135</v>
      </c>
      <c r="H10" s="14">
        <v>16</v>
      </c>
      <c r="I10" s="274">
        <v>11</v>
      </c>
      <c r="J10" s="269">
        <v>20</v>
      </c>
      <c r="K10" s="10"/>
      <c r="L10" s="10" t="s">
        <v>354</v>
      </c>
      <c r="M10" s="33">
        <v>0</v>
      </c>
      <c r="N10" s="33">
        <v>161</v>
      </c>
      <c r="O10" s="33">
        <v>331</v>
      </c>
      <c r="P10" s="33">
        <v>661</v>
      </c>
      <c r="Q10" s="33">
        <v>1301</v>
      </c>
      <c r="R10" s="33">
        <v>2601</v>
      </c>
      <c r="S10" s="33">
        <v>5001</v>
      </c>
      <c r="T10" s="33">
        <v>9001</v>
      </c>
      <c r="U10" s="33">
        <v>23001</v>
      </c>
      <c r="V10" s="33">
        <v>50001</v>
      </c>
      <c r="W10" s="33">
        <v>90001</v>
      </c>
      <c r="X10" s="33">
        <v>130001</v>
      </c>
      <c r="Y10" s="34">
        <f>165001+MAX(0,SUMIFS(INDEX(választott_kasztok,,10),INDEX(választott_kasztok,,1),$L10)-13)*50000</f>
        <v>165001</v>
      </c>
      <c r="Z10" s="10">
        <v>9</v>
      </c>
      <c r="AA10" s="10">
        <v>18</v>
      </c>
      <c r="AB10" s="10">
        <v>73</v>
      </c>
      <c r="AC10" s="37">
        <f>MAX(0,ügyesség+5)</f>
        <v>5</v>
      </c>
      <c r="AD10" s="10">
        <f>MAX(9,SUMIFS(INDEX(választott_kasztok,,10),INDEX(választott_kasztok,,1),$L10)*9)</f>
        <v>9</v>
      </c>
      <c r="AE10" s="10">
        <f t="shared" si="23"/>
        <v>4</v>
      </c>
      <c r="AF10" s="37">
        <f>MAX(0,SUMIFS(INDEX(választott_kasztok,,10),INDEX(választott_kasztok,,1),$L10)*0)</f>
        <v>0</v>
      </c>
      <c r="AG10" s="20">
        <f>IF(AND(többes_kaszt=iker_kaszt,váltás_kezdet=0,váltás_kezdet&lt;&gt;""),0,6)</f>
        <v>6</v>
      </c>
      <c r="AH10" s="10">
        <f>MAX(0,IF(választott_kaszt_1=$L10,IF(váltás_kezdet="",VLOOKUP($L10,választott_kasztok,10,FALSE)*10,MIN(VLOOKUP($L10,választott_kasztok,10,FALSE),váltás_kezdet)*10+IF(többes_kaszt=iker_kaszt,MAX(0,VLOOKUP($L10,választott_kasztok,10,FALSE)-váltás_kezdet),0)+IF(többes_kaszt=váltott_kaszt,MAX(0,váltás_kezdet-VLOOKUP($L10,választott_kasztok,10,FALSE))*10)),0)+IF(választott_kaszt_2=$L10,VLOOKUP($L10,választott_kasztok,10,FALSE)*IF(többes_kaszt=iker_kaszt,1,10),0))</f>
        <v>0</v>
      </c>
      <c r="AI10" s="10">
        <v>0</v>
      </c>
      <c r="AJ10" s="10">
        <v>6</v>
      </c>
      <c r="AK10" s="10">
        <v>6</v>
      </c>
      <c r="AL10" s="10">
        <f>MAX(1,SUMIFS(INDEX(választott_kasztok,,10),INDEX(választott_kasztok,,1),$L10))*(k6dobás+2)</f>
        <v>8</v>
      </c>
      <c r="AM10" s="10">
        <f>MAX(9,MIN(1,SUMIFS(INDEX(választott_kasztok,,10),INDEX(választott_kasztok,,1),$L10))*9+MAX(0,SUMIFS(INDEX(választott_kasztok,,10),INDEX(választott_kasztok,,1),$L10)-1)*(6+ROUNDUP(k6dobás/2,0)))</f>
        <v>9</v>
      </c>
      <c r="AN10" s="20" t="s">
        <v>1183</v>
      </c>
      <c r="AO10" s="209" t="str">
        <f>IF(tanultMfkaszt=0,"00",IF(INDEX(választott_kasztok,tanultMfkaszt,1)=$L10,TEXT(tanultMfTSZ,"00"),"00"))&amp;"0102"</f>
        <v>000102</v>
      </c>
      <c r="AP10" s="33">
        <v>0</v>
      </c>
      <c r="AQ10" s="56"/>
      <c r="AR10" s="56">
        <f>IF(SUMIFS(INDEX(választott_kasztok,,10),INDEX(választott_kasztok,,1),$L10)&gt;=3,30,0)</f>
        <v>0</v>
      </c>
      <c r="AS10" s="56"/>
      <c r="AT10" s="56"/>
      <c r="AU10" s="56"/>
      <c r="AV10" s="56"/>
      <c r="AW10" s="56"/>
      <c r="AX10" s="56"/>
      <c r="AY10" s="56"/>
      <c r="AZ10" s="56"/>
      <c r="BA10" s="117">
        <f>165001+MAX(0,váltás_kezdet-13)*50000</f>
        <v>165001</v>
      </c>
      <c r="BB10" s="17">
        <f t="shared" si="0"/>
        <v>13</v>
      </c>
      <c r="BC10" s="17">
        <f t="shared" si="1"/>
        <v>11</v>
      </c>
      <c r="BD10" s="116">
        <f t="shared" si="2"/>
        <v>18</v>
      </c>
      <c r="BE10" s="17">
        <f t="shared" si="3"/>
        <v>13</v>
      </c>
      <c r="BF10" s="17">
        <f t="shared" si="4"/>
        <v>14</v>
      </c>
      <c r="BG10" s="116">
        <f t="shared" si="5"/>
        <v>16</v>
      </c>
      <c r="BH10" s="17">
        <f t="shared" si="6"/>
        <v>14</v>
      </c>
      <c r="BI10" s="17">
        <f t="shared" si="7"/>
        <v>14</v>
      </c>
      <c r="BJ10" s="17">
        <f t="shared" si="8"/>
        <v>16</v>
      </c>
      <c r="BK10" s="17">
        <f t="shared" si="9"/>
        <v>14</v>
      </c>
      <c r="BL10" s="17">
        <f t="shared" si="10"/>
        <v>0</v>
      </c>
      <c r="BM10" s="13">
        <f t="shared" si="11"/>
        <v>0</v>
      </c>
      <c r="BN10" s="12"/>
      <c r="BO10" s="12"/>
      <c r="BP10" s="12"/>
      <c r="BQ10" s="12"/>
      <c r="BR10" s="12"/>
      <c r="BS10" s="12"/>
      <c r="BT10" s="12"/>
      <c r="BU10" s="12" t="s">
        <v>262</v>
      </c>
      <c r="BV10" s="12" t="s">
        <v>262</v>
      </c>
      <c r="BW10" s="51"/>
      <c r="BX10" s="12" t="s">
        <v>131</v>
      </c>
      <c r="BY10" s="12" t="s">
        <v>129</v>
      </c>
      <c r="BZ10" s="12" t="s">
        <v>136</v>
      </c>
      <c r="CA10" s="12" t="s">
        <v>131</v>
      </c>
      <c r="CB10" s="12" t="s">
        <v>132</v>
      </c>
      <c r="CC10" s="12" t="s">
        <v>135</v>
      </c>
      <c r="CD10" s="12" t="s">
        <v>132</v>
      </c>
      <c r="CE10" s="12" t="s">
        <v>132</v>
      </c>
      <c r="CF10" s="12" t="s">
        <v>134</v>
      </c>
      <c r="CG10" s="12" t="s">
        <v>132</v>
      </c>
      <c r="CH10" s="10">
        <v>3</v>
      </c>
      <c r="CI10" s="10">
        <v>6</v>
      </c>
      <c r="CJ10" s="148"/>
      <c r="CK10" s="63"/>
    </row>
    <row r="11" spans="1:89" ht="15.75" thickBot="1">
      <c r="A11" s="41">
        <v>20</v>
      </c>
      <c r="B11" s="42">
        <v>10</v>
      </c>
      <c r="C11" s="10"/>
      <c r="D11" s="10"/>
      <c r="E11" s="10"/>
      <c r="F11" s="14"/>
      <c r="G11" s="40" t="s">
        <v>136</v>
      </c>
      <c r="H11" s="26">
        <v>18</v>
      </c>
      <c r="I11" s="282">
        <v>15</v>
      </c>
      <c r="J11" s="273">
        <v>20</v>
      </c>
      <c r="K11" s="10"/>
      <c r="L11" s="10" t="s">
        <v>355</v>
      </c>
      <c r="M11" s="33">
        <v>0</v>
      </c>
      <c r="N11" s="33">
        <v>161</v>
      </c>
      <c r="O11" s="33">
        <v>331</v>
      </c>
      <c r="P11" s="33">
        <v>661</v>
      </c>
      <c r="Q11" s="33">
        <v>1301</v>
      </c>
      <c r="R11" s="33">
        <v>2601</v>
      </c>
      <c r="S11" s="33">
        <v>5001</v>
      </c>
      <c r="T11" s="33">
        <v>9001</v>
      </c>
      <c r="U11" s="33">
        <v>23001</v>
      </c>
      <c r="V11" s="33">
        <v>50001</v>
      </c>
      <c r="W11" s="33">
        <v>90001</v>
      </c>
      <c r="X11" s="33">
        <v>130001</v>
      </c>
      <c r="Y11" s="34">
        <f>165001+MAX(0,SUMIFS(INDEX(választott_kasztok,,10),INDEX(választott_kasztok,,1),$L11)-13)*50000</f>
        <v>165001</v>
      </c>
      <c r="Z11" s="10">
        <v>9</v>
      </c>
      <c r="AA11" s="10">
        <v>18</v>
      </c>
      <c r="AB11" s="10">
        <v>73</v>
      </c>
      <c r="AC11" s="37">
        <f>MAX(0,ügyesség+5)</f>
        <v>5</v>
      </c>
      <c r="AD11" s="10">
        <f>MAX(9,SUMIFS(INDEX(választott_kasztok,,10),INDEX(választott_kasztok,,1),$L11)*9)</f>
        <v>9</v>
      </c>
      <c r="AE11" s="10">
        <f t="shared" si="23"/>
        <v>4</v>
      </c>
      <c r="AF11" s="37">
        <f>MAX(0,SUMIFS(INDEX(választott_kasztok,,10),INDEX(választott_kasztok,,1),$L11)*0)</f>
        <v>0</v>
      </c>
      <c r="AG11" s="20">
        <f>IF(AND(többes_kaszt=iker_kaszt,váltás_kezdet=0,váltás_kezdet&lt;&gt;""),0,6)</f>
        <v>6</v>
      </c>
      <c r="AH11" s="10">
        <f>MAX(0,IF(választott_kaszt_1=$L11,IF(váltás_kezdet="",VLOOKUP($L11,választott_kasztok,10,FALSE)*10,MIN(VLOOKUP($L11,választott_kasztok,10,FALSE),váltás_kezdet)*10+IF(többes_kaszt=iker_kaszt,MAX(0,VLOOKUP($L11,választott_kasztok,10,FALSE)-váltás_kezdet),0)+IF(többes_kaszt=váltott_kaszt,MAX(0,váltás_kezdet-VLOOKUP($L11,választott_kasztok,10,FALSE))*10)),0)+IF(választott_kaszt_2=$L11,VLOOKUP($L11,választott_kasztok,10,FALSE)*IF(többes_kaszt=iker_kaszt,1,10),0))</f>
        <v>0</v>
      </c>
      <c r="AI11" s="10">
        <v>0</v>
      </c>
      <c r="AJ11" s="10">
        <v>6</v>
      </c>
      <c r="AK11" s="10">
        <v>6</v>
      </c>
      <c r="AL11" s="10">
        <f>MAX(1,SUMIFS(INDEX(választott_kasztok,,10),INDEX(választott_kasztok,,1),$L11))*(k6dobás+2)</f>
        <v>8</v>
      </c>
      <c r="AM11" s="10">
        <f>MAX(9,MIN(1,SUMIFS(INDEX(választott_kasztok,,10),INDEX(választott_kasztok,,1),$L11))*9+MAX(0,SUMIFS(INDEX(választott_kasztok,,10),INDEX(választott_kasztok,,1),$L11)-1)*(6+ROUNDUP(k6dobás/2,0)))</f>
        <v>9</v>
      </c>
      <c r="AN11" s="20" t="s">
        <v>1183</v>
      </c>
      <c r="AO11" s="209" t="str">
        <f>IF(tanultMfkaszt=0,"00",IF(INDEX(választott_kasztok,tanultMfkaszt,1)=$L11,TEXT(tanultMfTSZ,"00"),"00"))&amp;"0102"</f>
        <v>000102</v>
      </c>
      <c r="AP11" s="33">
        <v>0</v>
      </c>
      <c r="AQ11" s="56"/>
      <c r="AR11" s="56">
        <f>IF(SUMIFS(INDEX(választott_kasztok,,10),INDEX(választott_kasztok,,1),$L11)&gt;=3,30,0)</f>
        <v>0</v>
      </c>
      <c r="AS11" s="56"/>
      <c r="AT11" s="56"/>
      <c r="AU11" s="56"/>
      <c r="AV11" s="56"/>
      <c r="AW11" s="56"/>
      <c r="AX11" s="56"/>
      <c r="AY11" s="56"/>
      <c r="AZ11" s="56"/>
      <c r="BA11" s="117">
        <f>165001+MAX(0,váltás_kezdet-13)*50000</f>
        <v>165001</v>
      </c>
      <c r="BB11" s="17">
        <f t="shared" si="0"/>
        <v>13</v>
      </c>
      <c r="BC11" s="116">
        <f t="shared" si="1"/>
        <v>18</v>
      </c>
      <c r="BD11" s="17">
        <f t="shared" si="2"/>
        <v>11</v>
      </c>
      <c r="BE11" s="17">
        <f t="shared" si="3"/>
        <v>13</v>
      </c>
      <c r="BF11" s="17">
        <f t="shared" si="4"/>
        <v>14</v>
      </c>
      <c r="BG11" s="116">
        <f t="shared" si="5"/>
        <v>16</v>
      </c>
      <c r="BH11" s="17">
        <f t="shared" si="6"/>
        <v>14</v>
      </c>
      <c r="BI11" s="17">
        <f t="shared" si="7"/>
        <v>14</v>
      </c>
      <c r="BJ11" s="17">
        <f t="shared" si="8"/>
        <v>16</v>
      </c>
      <c r="BK11" s="17">
        <f t="shared" si="9"/>
        <v>14</v>
      </c>
      <c r="BL11" s="17">
        <f t="shared" si="10"/>
        <v>0</v>
      </c>
      <c r="BM11" s="13">
        <f t="shared" si="11"/>
        <v>0</v>
      </c>
      <c r="BN11" s="12"/>
      <c r="BO11" s="12"/>
      <c r="BP11" s="12"/>
      <c r="BQ11" s="12"/>
      <c r="BR11" s="12"/>
      <c r="BS11" s="12"/>
      <c r="BT11" s="12"/>
      <c r="BU11" s="12" t="s">
        <v>262</v>
      </c>
      <c r="BV11" s="12" t="s">
        <v>262</v>
      </c>
      <c r="BW11" s="51"/>
      <c r="BX11" s="12" t="s">
        <v>131</v>
      </c>
      <c r="BY11" s="12" t="s">
        <v>136</v>
      </c>
      <c r="BZ11" s="12" t="s">
        <v>129</v>
      </c>
      <c r="CA11" s="12" t="s">
        <v>131</v>
      </c>
      <c r="CB11" s="12" t="s">
        <v>132</v>
      </c>
      <c r="CC11" s="12" t="s">
        <v>135</v>
      </c>
      <c r="CD11" s="12" t="s">
        <v>132</v>
      </c>
      <c r="CE11" s="12" t="s">
        <v>132</v>
      </c>
      <c r="CF11" s="12" t="s">
        <v>134</v>
      </c>
      <c r="CG11" s="12" t="s">
        <v>132</v>
      </c>
      <c r="CH11" s="10">
        <v>3</v>
      </c>
      <c r="CI11" s="10">
        <v>6</v>
      </c>
      <c r="CJ11" s="148"/>
      <c r="CK11" s="63"/>
    </row>
    <row r="12" spans="1:89" ht="15.75" thickBot="1">
      <c r="A12" s="41"/>
      <c r="B12" s="42"/>
      <c r="C12" s="10"/>
      <c r="D12" s="10"/>
      <c r="E12" s="10"/>
      <c r="F12" s="14"/>
      <c r="G12" s="23"/>
      <c r="H12" s="23"/>
      <c r="I12" s="23"/>
      <c r="J12" s="23"/>
      <c r="K12" s="10"/>
      <c r="L12" s="261" t="s">
        <v>1164</v>
      </c>
      <c r="M12" s="33">
        <v>0</v>
      </c>
      <c r="N12" s="33">
        <v>161</v>
      </c>
      <c r="O12" s="33">
        <v>321</v>
      </c>
      <c r="P12" s="33">
        <v>641</v>
      </c>
      <c r="Q12" s="33">
        <v>1441</v>
      </c>
      <c r="R12" s="34">
        <v>2801</v>
      </c>
      <c r="S12" s="33">
        <v>5601</v>
      </c>
      <c r="T12" s="33">
        <v>10001</v>
      </c>
      <c r="U12" s="33">
        <v>20001</v>
      </c>
      <c r="V12" s="33">
        <v>40001</v>
      </c>
      <c r="W12" s="33">
        <v>60001</v>
      </c>
      <c r="X12" s="33">
        <v>80001</v>
      </c>
      <c r="Y12" s="34">
        <f>112001+MAX(0,SUMIFS(INDEX(választott_kasztok,,10),INDEX(választott_kasztok,,1),$L12)-13)*31200</f>
        <v>112001</v>
      </c>
      <c r="Z12" s="10">
        <v>9</v>
      </c>
      <c r="AA12" s="10">
        <v>20</v>
      </c>
      <c r="AB12" s="10">
        <v>75</v>
      </c>
      <c r="AC12" s="10">
        <v>0</v>
      </c>
      <c r="AD12" s="10">
        <f>MAX(11,SUMIFS(INDEX(választott_kasztok,,10),INDEX(választott_kasztok,,1),$L12)*11)</f>
        <v>11</v>
      </c>
      <c r="AE12" s="10">
        <f>MAX(4,SUMIFS(INDEX(választott_kasztok,,10),INDEX(választott_kasztok,,1),$L12)*4)</f>
        <v>4</v>
      </c>
      <c r="AF12" s="10">
        <f>MAX(2,SUMIFS(INDEX(választott_kasztok,,10),INDEX(választott_kasztok,,1),$L12)*2)</f>
        <v>2</v>
      </c>
      <c r="AG12" s="20">
        <f>IF(AND(többes_kaszt=iker_kaszt,váltás_kezdet=0,váltás_kezdet&lt;&gt;""),0,10)</f>
        <v>10</v>
      </c>
      <c r="AH12" s="10">
        <f>MAX(0,IF(választott_kaszt_1=$L12,IF(váltás_kezdet="",VLOOKUP($L12,választott_kasztok,10,FALSE)*11,MIN(VLOOKUP($L12,választott_kasztok,10,FALSE),váltás_kezdet)*10+IF(többes_kaszt=iker_kaszt,MAX(0,VLOOKUP($L12,választott_kasztok,10,FALSE)-váltás_kezdet),0)+IF(többes_kaszt=váltott_kaszt,MAX(0,váltás_kezdet-VLOOKUP($L12,választott_kasztok,10,FALSE))*10)),0)+IF(választott_kaszt_2=$L12,VLOOKUP($L12,választott_kasztok,10,FALSE)*IF(többes_kaszt=iker_kaszt,1,10),0))</f>
        <v>0</v>
      </c>
      <c r="AI12" s="10">
        <f>MAX(10,IF(AND(többes_kaszt=váltott_kaszt,választott_kaszt_1=$L12),váltás_kezdet*10,SUMIFS(INDEX(választott_kasztok,,10),INDEX(választott_kasztok,,1),$L12)*10))</f>
        <v>10</v>
      </c>
      <c r="AJ12" s="10">
        <v>7</v>
      </c>
      <c r="AK12" s="10">
        <v>6</v>
      </c>
      <c r="AL12" s="10">
        <f>MAX(1,SUMIFS(INDEX(választott_kasztok,,10),INDEX(választott_kasztok,,1),$L12))*(k6dobás+4)</f>
        <v>10</v>
      </c>
      <c r="AM12" s="10"/>
      <c r="AN12" s="20" t="str">
        <f>IF(OR(tanultAfTSZ&gt;0,tanultMfTSZ&gt;0),pyarroni,nincsen)</f>
        <v>nincs</v>
      </c>
      <c r="AO12" s="208" t="str">
        <f>IF(tanultMfkaszt=0,"00",IF(INDEX(választott_kasztok,tanultMfkaszt,1)=$L12,TEXT(tanultMfTSZ,"00"),"00"))&amp;IF(tanultAfkaszt=0,"00",IF(INDEX(választott_kasztok,tanultAfkaszt,1)=$L12,TEXT(tanultAfTSZ,"00"),"00"))&amp;"01"</f>
        <v>000001</v>
      </c>
      <c r="AP12" s="33">
        <v>0</v>
      </c>
      <c r="AQ12" s="56">
        <v>5</v>
      </c>
      <c r="AR12" s="56">
        <v>20</v>
      </c>
      <c r="AS12" s="56">
        <v>10</v>
      </c>
      <c r="AT12" s="56"/>
      <c r="AU12" s="56"/>
      <c r="AV12" s="56"/>
      <c r="AW12" s="56"/>
      <c r="AX12" s="56"/>
      <c r="AY12" s="56"/>
      <c r="AZ12" s="56"/>
      <c r="BA12" s="117">
        <f>112001+MAX(0,váltás_kezdet-13)*31200</f>
        <v>112001</v>
      </c>
      <c r="BB12" s="17">
        <f t="shared" si="0"/>
        <v>16</v>
      </c>
      <c r="BC12" s="17">
        <f t="shared" si="1"/>
        <v>13</v>
      </c>
      <c r="BD12" s="17">
        <f t="shared" si="2"/>
        <v>16</v>
      </c>
      <c r="BE12" s="17">
        <f t="shared" si="3"/>
        <v>14</v>
      </c>
      <c r="BF12" s="116">
        <f t="shared" si="4"/>
        <v>16</v>
      </c>
      <c r="BG12" s="17">
        <f t="shared" si="5"/>
        <v>11</v>
      </c>
      <c r="BH12" s="17">
        <f t="shared" si="6"/>
        <v>11</v>
      </c>
      <c r="BI12" s="17">
        <f t="shared" si="7"/>
        <v>13</v>
      </c>
      <c r="BJ12" s="17">
        <f t="shared" si="8"/>
        <v>11</v>
      </c>
      <c r="BK12" s="17">
        <f t="shared" si="9"/>
        <v>13</v>
      </c>
      <c r="BL12" s="17">
        <f t="shared" ref="BL12:BL13" si="35">MAX(0,SUM(tulajdonságok)-SUM($BB12:$BK12))</f>
        <v>0</v>
      </c>
      <c r="BM12" s="13">
        <f t="shared" si="11"/>
        <v>0</v>
      </c>
      <c r="BN12" s="12" t="s">
        <v>262</v>
      </c>
      <c r="BO12" s="12" t="s">
        <v>262</v>
      </c>
      <c r="BP12" s="12" t="s">
        <v>262</v>
      </c>
      <c r="BQ12" s="12" t="s">
        <v>262</v>
      </c>
      <c r="BR12" s="12"/>
      <c r="BS12" s="12"/>
      <c r="BT12" s="12"/>
      <c r="BU12" s="12"/>
      <c r="BV12" s="12"/>
      <c r="BW12" s="51"/>
      <c r="BX12" s="12" t="s">
        <v>134</v>
      </c>
      <c r="BY12" s="12" t="s">
        <v>131</v>
      </c>
      <c r="BZ12" s="12" t="s">
        <v>134</v>
      </c>
      <c r="CA12" s="12" t="s">
        <v>132</v>
      </c>
      <c r="CB12" s="12" t="s">
        <v>135</v>
      </c>
      <c r="CC12" s="12" t="s">
        <v>129</v>
      </c>
      <c r="CD12" s="12" t="s">
        <v>129</v>
      </c>
      <c r="CE12" s="12" t="s">
        <v>131</v>
      </c>
      <c r="CF12" s="12" t="s">
        <v>129</v>
      </c>
      <c r="CG12" s="12" t="s">
        <v>131</v>
      </c>
      <c r="CH12" s="10">
        <v>3</v>
      </c>
      <c r="CI12" s="10">
        <v>18</v>
      </c>
      <c r="CJ12" s="148"/>
      <c r="CK12" s="63"/>
    </row>
    <row r="13" spans="1:89" ht="16.5" thickBot="1">
      <c r="A13" s="43"/>
      <c r="B13" s="44"/>
      <c r="C13" s="10"/>
      <c r="D13" s="10"/>
      <c r="E13" s="10"/>
      <c r="F13" s="14"/>
      <c r="G13" s="631" t="s">
        <v>15</v>
      </c>
      <c r="H13" s="632"/>
      <c r="I13" s="631" t="s">
        <v>20</v>
      </c>
      <c r="J13" s="632"/>
      <c r="K13" s="10"/>
      <c r="L13" s="267" t="s">
        <v>1005</v>
      </c>
      <c r="M13" s="33">
        <v>0</v>
      </c>
      <c r="N13" s="33">
        <v>221</v>
      </c>
      <c r="O13" s="33">
        <v>443</v>
      </c>
      <c r="P13" s="33">
        <v>951</v>
      </c>
      <c r="Q13" s="33">
        <v>2001</v>
      </c>
      <c r="R13" s="33">
        <v>4501</v>
      </c>
      <c r="S13" s="33">
        <v>9001</v>
      </c>
      <c r="T13" s="33">
        <v>16001</v>
      </c>
      <c r="U13" s="33">
        <v>32001</v>
      </c>
      <c r="V13" s="33">
        <v>65001</v>
      </c>
      <c r="W13" s="33">
        <v>120001</v>
      </c>
      <c r="X13" s="33">
        <v>170001</v>
      </c>
      <c r="Y13" s="34">
        <f>240001+MAX(0,SUMIFS(INDEX(választott_kasztok,,10),INDEX(választott_kasztok,,1),$L13)-13)*65000</f>
        <v>240001</v>
      </c>
      <c r="Z13" s="37">
        <f>10+ROUNDDOWN(SUMIFS(INDEX(választott_kasztok,,10),INDEX(választott_kasztok,,1),$L13)/2,0)</f>
        <v>10</v>
      </c>
      <c r="AA13" s="10">
        <v>20</v>
      </c>
      <c r="AB13" s="10">
        <v>75</v>
      </c>
      <c r="AC13" s="10">
        <v>0</v>
      </c>
      <c r="AD13" s="10">
        <f>MAX(10,SUMIFS(INDEX(választott_kasztok,,10),INDEX(választott_kasztok,,1),$L13)*10)</f>
        <v>10</v>
      </c>
      <c r="AE13" s="10">
        <f>MAX(3,SUMIFS(INDEX(választott_kasztok,,10),INDEX(választott_kasztok,,1),$L13)*3)</f>
        <v>3</v>
      </c>
      <c r="AF13" s="10">
        <f>MAX(3,SUMIFS(INDEX(választott_kasztok,,10),INDEX(választott_kasztok,,1),$L13)*3)</f>
        <v>3</v>
      </c>
      <c r="AG13" s="20">
        <f>IF(AND(többes_kaszt=iker_kaszt,váltás_kezdet=0,váltás_kezdet&lt;&gt;""),0,2)</f>
        <v>2</v>
      </c>
      <c r="AH13" s="10">
        <f>MAX(0,IF(választott_kaszt_1=$L13,IF(váltás_kezdet="",VLOOKUP($L13,választott_kasztok,10,FALSE)*3,MIN(VLOOKUP($L13,választott_kasztok,10,FALSE),váltás_kezdet)*3+IF(többes_kaszt=iker_kaszt,MAX(0,VLOOKUP($L13,választott_kasztok,10,FALSE)-váltás_kezdet),0)+IF(többes_kaszt=váltott_kaszt,MAX(0,váltás_kezdet-VLOOKUP($L13,választott_kasztok,10,FALSE))*3)),0)+IF(választott_kaszt_2=$L13,VLOOKUP($L13,választott_kasztok,10,FALSE)*IF(többes_kaszt=iker_kaszt,1,3),0))</f>
        <v>0</v>
      </c>
      <c r="AI13" s="10">
        <f>MAX(30,IF(AND(többes_kaszt=váltott_kaszt,választott_kaszt_1=$L13),váltás_kezdet*30,SUMIFS(INDEX(választott_kasztok,,10),INDEX(választott_kasztok,,1),$L13)*30))</f>
        <v>30</v>
      </c>
      <c r="AJ13" s="10">
        <v>5</v>
      </c>
      <c r="AK13" s="10">
        <v>7</v>
      </c>
      <c r="AL13" s="10">
        <f>MAX(1,SUMIFS(INDEX(választott_kasztok,,10),INDEX(választott_kasztok,,1),$L13))*(k6dobás+5)</f>
        <v>11</v>
      </c>
      <c r="AM13" s="10">
        <f>MAX(6,SUMIFS(INDEX(választott_kasztok,,10),INDEX(választott_kasztok,,1),$L13)*6)</f>
        <v>6</v>
      </c>
      <c r="AN13" s="20" t="s">
        <v>1183</v>
      </c>
      <c r="AO13" s="209" t="str">
        <f>TEXT(IF(tanultMfkaszt=0,IF(SUMIFS(INDEX(választott_kasztok,,10),INDEX(választott_kasztok,,1),$L13)&lt;5,0,5),IF(INDEX(választott_kasztok,tanultMfkaszt,1)=$L13,IF(OR(tanultMfTSZ=0,tanultMfTSZ&gt;MIN(5,SUMIFS(INDEX(választott_kasztok,,10),INDEX(választott_kasztok,,1),$L13))),IF(SUMIFS(INDEX(választott_kasztok,,10),INDEX(választott_kasztok,,1),$L13)&lt;5,0,5),MIN(5,tanultMfTSZ)),0)),"00")&amp;"0101"</f>
        <v>000101</v>
      </c>
      <c r="AP13" s="33">
        <v>0</v>
      </c>
      <c r="AQ13" s="56">
        <v>15</v>
      </c>
      <c r="AR13" s="56">
        <v>15</v>
      </c>
      <c r="AS13" s="56">
        <v>15</v>
      </c>
      <c r="AT13" s="56">
        <v>30</v>
      </c>
      <c r="AU13" s="56">
        <v>30</v>
      </c>
      <c r="AV13" s="56"/>
      <c r="AW13" s="56"/>
      <c r="AX13" s="56">
        <v>10</v>
      </c>
      <c r="AY13" s="56"/>
      <c r="AZ13" s="56"/>
      <c r="BA13" s="117">
        <f>240001+MAX(0,váltás_kezdet-13)*65000</f>
        <v>240001</v>
      </c>
      <c r="BB13" s="17">
        <f t="shared" ref="BB13" si="36">MAX(SUMIFS(INDEX(dobások,,2),INDEX(dobások,,1),BX13)+SUMIFS(INDEX(fajok,,3),INDEX(fajok,,1),választott_faj),IF(AND(többes_kaszt=iker_kaszt,váltás_kezdet=1,választott_kaszt_1=$L13),SUMIFS(INDEX(kasztok,,43),INDEX(kasztok,,1),választott_kaszt_2),0))</f>
        <v>13</v>
      </c>
      <c r="BC13" s="17">
        <f t="shared" ref="BC13" si="37">MAX(SUMIFS(INDEX(dobások,,2),INDEX(dobások,,1),BY13)+SUMIFS(INDEX(fajok,,4),INDEX(fajok,,1),választott_faj),IF(AND(többes_kaszt=iker_kaszt,váltás_kezdet=1,választott_kaszt_1=$L13),SUMIFS(INDEX(kasztok,,44),INDEX(kasztok,,1),választott_kaszt_2),0))</f>
        <v>16</v>
      </c>
      <c r="BD13" s="17">
        <f t="shared" ref="BD13" si="38">MAX(SUMIFS(INDEX(dobások,,2),INDEX(dobások,,1),BZ13)+SUMIFS(INDEX(fajok,,5),INDEX(fajok,,1),választott_faj),IF(AND(többes_kaszt=iker_kaszt,váltás_kezdet=1,választott_kaszt_1=$L13),SUMIFS(INDEX(kasztok,,45),INDEX(kasztok,,1),választott_kaszt_2),0))</f>
        <v>14</v>
      </c>
      <c r="BE13" s="17">
        <f t="shared" ref="BE13" si="39">MAX(SUMIFS(INDEX(dobások,,2),INDEX(dobások,,1),CA13)+SUMIFS(INDEX(fajok,,6),INDEX(fajok,,1),választott_faj),IF(AND(többes_kaszt=iker_kaszt,váltás_kezdet=1,választott_kaszt_1=$L13),SUMIFS(INDEX(kasztok,,46),INDEX(kasztok,,1),választott_kaszt_2),0))</f>
        <v>16</v>
      </c>
      <c r="BF13" s="31">
        <f t="shared" ref="BF13" si="40">MAX(SUMIFS(INDEX(dobások,,2),INDEX(dobások,,1),CB13)+SUMIFS(INDEX(fajok,,7),INDEX(fajok,,1),választott_faj),IF(AND(többes_kaszt=iker_kaszt,váltás_kezdet=1,választott_kaszt_1=$L13),SUMIFS(INDEX(kasztok,,47),INDEX(kasztok,,1),választott_kaszt_2),0))</f>
        <v>14</v>
      </c>
      <c r="BG13" s="17">
        <f t="shared" ref="BG13" si="41">MAX(SUMIFS(INDEX(dobások,,2),INDEX(dobások,,1),CC13)+SUMIFS(INDEX(fajok,,8),INDEX(fajok,,1),választott_faj),IF(AND(többes_kaszt=iker_kaszt,váltás_kezdet=1,választott_kaszt_1=$L13),SUMIFS(INDEX(kasztok,,48),INDEX(kasztok,,1),választott_kaszt_2),0))</f>
        <v>10</v>
      </c>
      <c r="BH13" s="17">
        <f t="shared" ref="BH13" si="42">MAX(SUMIFS(INDEX(dobások,,2),INDEX(dobások,,1),CD13)+SUMIFS(INDEX(fajok,,9),INDEX(fajok,,1),választott_faj),IF(AND(többes_kaszt=iker_kaszt,váltás_kezdet=1,választott_kaszt_1=$L13),SUMIFS(INDEX(kasztok,,49),INDEX(kasztok,,1),választott_kaszt_2),0))</f>
        <v>13</v>
      </c>
      <c r="BI13" s="17">
        <f t="shared" ref="BI13" si="43">MAX(SUMIFS(INDEX(dobások,,2),INDEX(dobások,,1),CE13),IF(AND(többes_kaszt=iker_kaszt,váltás_kezdet=1,választott_kaszt_1=$L13),SUMIFS(INDEX(kasztok,,50),INDEX(kasztok,,1),választott_kaszt_2),0))</f>
        <v>14</v>
      </c>
      <c r="BJ13" s="17">
        <f t="shared" ref="BJ13" si="44">MAX(SUMIFS(INDEX(dobások,,2),INDEX(dobások,,1),CF13)+SUMIFS(INDEX(fajok,,10),INDEX(fajok,,1),választott_faj),IF(AND(többes_kaszt=iker_kaszt,váltás_kezdet=1,választott_kaszt_1=$L13),SUMIFS(INDEX(kasztok,,51),INDEX(kasztok,,1),választott_kaszt_2),0))</f>
        <v>13</v>
      </c>
      <c r="BK13" s="17">
        <f t="shared" ref="BK13" si="45">MAX(SUMIFS(INDEX(dobások,,2),INDEX(dobások,,1),CG13),IF(AND(többes_kaszt=iker_kaszt,váltás_kezdet=1,választott_kaszt_1=$L13),SUMIFS(INDEX(kasztok,,52),INDEX(kasztok,,1),választott_kaszt_2),0))</f>
        <v>16</v>
      </c>
      <c r="BL13" s="17">
        <f t="shared" si="35"/>
        <v>0</v>
      </c>
      <c r="BM13" s="13">
        <f t="shared" ref="BM13" si="46">MAX(0,erő-(SUMIFS(INDEX(dobások,,4),INDEX(dobások,,1),BX13)+SUMIFS(INDEX(fajok,,3),INDEX(fajok,,1),választott_faj)))+MAX(0,gyorsaság-(SUMIFS(INDEX(dobások,,4),INDEX(dobások,,1),BY13)+SUMIFS(INDEX(fajok,,4),INDEX(fajok,,1),választott_faj)))+MAX(0,ügyesség-(SUMIFS(INDEX(dobások,,4),INDEX(dobások,,1),BZ13)+SUMIFS(INDEX(fajok,,5),INDEX(fajok,,1),választott_faj)))+MAX(0,állóképesség-(SUMIFS(INDEX(dobások,,4),INDEX(dobások,,1),CA13)+SUMIFS(INDEX(fajok,,6),INDEX(fajok,,1),választott_faj)))+MAX(0,egészség-(SUMIFS(INDEX(dobások,,4),INDEX(dobások,,1),CB13)+SUMIFS(INDEX(fajok,,7),INDEX(fajok,,1),választott_faj)))+MAX(0,szépség-(SUMIFS(INDEX(dobások,,4),INDEX(dobások,,1),CC13)+SUMIFS(INDEX(fajok,,8),INDEX(fajok,,1),választott_faj)))+MAX(0,intelligencia-(SUMIFS(INDEX(dobások,,4),INDEX(dobások,,1),CD13)+SUMIFS(INDEX(fajok,,9),INDEX(fajok,,1),választott_faj)))+MAX(0,akaraterő-SUMIFS(INDEX(dobások,,4),INDEX(dobások,,1),CE13))+MAX(0,asztrál-(SUMIFS(INDEX(dobások,,4),INDEX(dobások,,1),CF13)+SUMIFS(INDEX(fajok,,10),INDEX(fajok,,1),választott_faj)))+MAX(0,érzékelés-SUMIFS(INDEX(dobások,,4),INDEX(dobások,,1),CG13))</f>
        <v>0</v>
      </c>
      <c r="BN13" s="12"/>
      <c r="BO13" s="12" t="s">
        <v>262</v>
      </c>
      <c r="BP13" s="12"/>
      <c r="BQ13" s="12" t="s">
        <v>262</v>
      </c>
      <c r="BR13" s="12"/>
      <c r="BS13" s="12"/>
      <c r="BT13" s="12"/>
      <c r="BU13" s="12"/>
      <c r="BV13" s="12"/>
      <c r="BW13" s="51"/>
      <c r="BX13" s="12" t="s">
        <v>131</v>
      </c>
      <c r="BY13" s="12" t="s">
        <v>134</v>
      </c>
      <c r="BZ13" s="12" t="s">
        <v>132</v>
      </c>
      <c r="CA13" s="12" t="s">
        <v>134</v>
      </c>
      <c r="CB13" s="12" t="s">
        <v>132</v>
      </c>
      <c r="CC13" s="12" t="s">
        <v>128</v>
      </c>
      <c r="CD13" s="12" t="s">
        <v>131</v>
      </c>
      <c r="CE13" s="12" t="s">
        <v>132</v>
      </c>
      <c r="CF13" s="12" t="s">
        <v>131</v>
      </c>
      <c r="CG13" s="12" t="s">
        <v>134</v>
      </c>
      <c r="CH13" s="10">
        <v>3</v>
      </c>
      <c r="CI13" s="10">
        <v>6</v>
      </c>
      <c r="CJ13" s="148"/>
      <c r="CK13" s="63"/>
    </row>
    <row r="14" spans="1:89" ht="15.75" thickBot="1">
      <c r="A14" s="10"/>
      <c r="B14" s="10"/>
      <c r="C14" s="10"/>
      <c r="D14" s="10"/>
      <c r="E14" s="10"/>
      <c r="F14" s="14"/>
      <c r="G14" s="15"/>
      <c r="H14" s="16" t="s">
        <v>16</v>
      </c>
      <c r="I14" s="15"/>
      <c r="J14" s="16" t="s">
        <v>21</v>
      </c>
      <c r="K14" s="10"/>
      <c r="L14" s="263" t="s">
        <v>106</v>
      </c>
      <c r="M14" s="33">
        <v>0</v>
      </c>
      <c r="N14" s="33">
        <v>189</v>
      </c>
      <c r="O14" s="33">
        <v>377</v>
      </c>
      <c r="P14" s="33">
        <v>826</v>
      </c>
      <c r="Q14" s="33">
        <v>1651</v>
      </c>
      <c r="R14" s="33">
        <v>3301</v>
      </c>
      <c r="S14" s="33">
        <v>7251</v>
      </c>
      <c r="T14" s="33">
        <v>12051</v>
      </c>
      <c r="U14" s="33">
        <v>24001</v>
      </c>
      <c r="V14" s="33">
        <v>48001</v>
      </c>
      <c r="W14" s="33">
        <v>68001</v>
      </c>
      <c r="X14" s="33">
        <v>93001</v>
      </c>
      <c r="Y14" s="34">
        <f>130001+MAX(0,SUMIFS(INDEX(választott_kasztok,,10),INDEX(választott_kasztok,,1),$L14)-13)*40000</f>
        <v>130001</v>
      </c>
      <c r="Z14" s="10">
        <v>9</v>
      </c>
      <c r="AA14" s="10">
        <v>20</v>
      </c>
      <c r="AB14" s="10">
        <v>75</v>
      </c>
      <c r="AC14" s="10">
        <v>0</v>
      </c>
      <c r="AD14" s="10">
        <f>MAX(12,SUMIFS(INDEX(választott_kasztok,,10),INDEX(választott_kasztok,,1),$L14)*12)</f>
        <v>12</v>
      </c>
      <c r="AE14" s="10">
        <f t="shared" si="23"/>
        <v>4</v>
      </c>
      <c r="AF14" s="10">
        <f>MAX(4,SUMIFS(INDEX(választott_kasztok,,10),INDEX(választott_kasztok,,1),$L14)*4)</f>
        <v>4</v>
      </c>
      <c r="AG14" s="20">
        <f>IF(AND(többes_kaszt=iker_kaszt,váltás_kezdet=0,váltás_kezdet&lt;&gt;""),0,3)</f>
        <v>3</v>
      </c>
      <c r="AH14" s="10">
        <f>MAX(0,IF(választott_kaszt_1=$L14,IF(váltás_kezdet="",VLOOKUP($L14,választott_kasztok,10,FALSE)*6,MIN(VLOOKUP($L14,választott_kasztok,10,FALSE),váltás_kezdet)*6+IF(többes_kaszt=iker_kaszt,MAX(0,VLOOKUP($L14,választott_kasztok,10,FALSE)-váltás_kezdet),0)+IF(többes_kaszt=váltott_kaszt,MAX(0,váltás_kezdet-VLOOKUP($L14,választott_kasztok,10,FALSE))*6)),0)+IF(választott_kaszt_2=$L14,VLOOKUP($L14,választott_kasztok,10,FALSE)*IF(többes_kaszt=iker_kaszt,1,6),0))</f>
        <v>0</v>
      </c>
      <c r="AI14" s="10">
        <v>0</v>
      </c>
      <c r="AJ14" s="10">
        <v>8</v>
      </c>
      <c r="AK14" s="10">
        <v>7</v>
      </c>
      <c r="AL14" s="10">
        <f>MAX(1,SUMIFS(INDEX(választott_kasztok,,10),INDEX(választott_kasztok,,1),$L14))*(k6dobás+5)</f>
        <v>11</v>
      </c>
      <c r="AM14" s="10"/>
      <c r="AN14" s="20" t="str">
        <f>IF(OR(tanultAfTSZ&gt;0,tanultMfTSZ&gt;0),pyarroni,nincsen)</f>
        <v>nincs</v>
      </c>
      <c r="AO14" s="208" t="str">
        <f>IF(tanultMfkaszt=0,"00",IF(INDEX(választott_kasztok,tanultMfkaszt,1)=$L14,TEXT(tanultMfTSZ,"00"),"00"))&amp;IF(tanultAfkaszt=0,"00",IF(INDEX(választott_kasztok,tanultAfkaszt,1)=$L14,TEXT(tanultAfTSZ,"00"),"00"))&amp;"01"</f>
        <v>000001</v>
      </c>
      <c r="AP14" s="33">
        <v>0</v>
      </c>
      <c r="AQ14" s="56"/>
      <c r="AR14" s="56">
        <v>30</v>
      </c>
      <c r="AS14" s="56">
        <v>20</v>
      </c>
      <c r="AT14" s="56"/>
      <c r="AU14" s="56"/>
      <c r="AV14" s="56"/>
      <c r="AW14" s="56"/>
      <c r="AX14" s="56"/>
      <c r="AY14" s="56"/>
      <c r="AZ14" s="56"/>
      <c r="BA14" s="117">
        <f>130001+MAX(0,váltás_kezdet-13)*40000</f>
        <v>130001</v>
      </c>
      <c r="BB14" s="17">
        <f t="shared" si="0"/>
        <v>16</v>
      </c>
      <c r="BC14" s="17">
        <f t="shared" si="1"/>
        <v>13</v>
      </c>
      <c r="BD14" s="17">
        <f t="shared" si="2"/>
        <v>13</v>
      </c>
      <c r="BE14" s="17">
        <f t="shared" si="3"/>
        <v>14</v>
      </c>
      <c r="BF14" s="116">
        <f t="shared" si="4"/>
        <v>16</v>
      </c>
      <c r="BG14" s="17">
        <f t="shared" si="5"/>
        <v>11</v>
      </c>
      <c r="BH14" s="17">
        <f t="shared" si="6"/>
        <v>11</v>
      </c>
      <c r="BI14" s="17">
        <f t="shared" si="7"/>
        <v>13</v>
      </c>
      <c r="BJ14" s="17">
        <f t="shared" si="8"/>
        <v>11</v>
      </c>
      <c r="BK14" s="17">
        <f t="shared" si="9"/>
        <v>13</v>
      </c>
      <c r="BL14" s="17">
        <f t="shared" si="10"/>
        <v>0</v>
      </c>
      <c r="BM14" s="13">
        <f t="shared" si="11"/>
        <v>0</v>
      </c>
      <c r="BN14" s="12" t="s">
        <v>262</v>
      </c>
      <c r="BO14" s="12" t="s">
        <v>262</v>
      </c>
      <c r="BP14" s="12" t="s">
        <v>262</v>
      </c>
      <c r="BQ14" s="12" t="s">
        <v>262</v>
      </c>
      <c r="BR14" s="12"/>
      <c r="BS14" s="12"/>
      <c r="BT14" s="12"/>
      <c r="BU14" s="12"/>
      <c r="BV14" s="12"/>
      <c r="BW14" s="51"/>
      <c r="BX14" s="12" t="s">
        <v>134</v>
      </c>
      <c r="BY14" s="12" t="s">
        <v>131</v>
      </c>
      <c r="BZ14" s="12" t="s">
        <v>131</v>
      </c>
      <c r="CA14" s="12" t="s">
        <v>132</v>
      </c>
      <c r="CB14" s="12" t="s">
        <v>135</v>
      </c>
      <c r="CC14" s="12" t="s">
        <v>129</v>
      </c>
      <c r="CD14" s="12" t="s">
        <v>129</v>
      </c>
      <c r="CE14" s="12" t="s">
        <v>131</v>
      </c>
      <c r="CF14" s="12" t="s">
        <v>129</v>
      </c>
      <c r="CG14" s="12" t="s">
        <v>131</v>
      </c>
      <c r="CH14" s="10">
        <v>3</v>
      </c>
      <c r="CI14" s="10">
        <v>12</v>
      </c>
      <c r="CJ14" s="148"/>
      <c r="CK14" s="63"/>
    </row>
    <row r="15" spans="1:89" ht="16.5" thickBot="1">
      <c r="A15" s="633" t="s">
        <v>18</v>
      </c>
      <c r="B15" s="634"/>
      <c r="C15" s="149">
        <v>0</v>
      </c>
      <c r="D15" s="10"/>
      <c r="E15" s="10"/>
      <c r="F15" s="14"/>
      <c r="G15" s="30"/>
      <c r="H15" s="27" t="s">
        <v>17</v>
      </c>
      <c r="I15" s="30"/>
      <c r="J15" s="27" t="s">
        <v>22</v>
      </c>
      <c r="K15" s="10"/>
      <c r="L15" s="262" t="s">
        <v>362</v>
      </c>
      <c r="M15" s="33">
        <v>0</v>
      </c>
      <c r="N15" s="33">
        <v>166</v>
      </c>
      <c r="O15" s="33">
        <v>331</v>
      </c>
      <c r="P15" s="33">
        <v>661</v>
      </c>
      <c r="Q15" s="33">
        <v>1486</v>
      </c>
      <c r="R15" s="33">
        <v>2901</v>
      </c>
      <c r="S15" s="33">
        <v>5801</v>
      </c>
      <c r="T15" s="33">
        <v>11001</v>
      </c>
      <c r="U15" s="33">
        <v>22001</v>
      </c>
      <c r="V15" s="33">
        <v>45001</v>
      </c>
      <c r="W15" s="33">
        <v>67001</v>
      </c>
      <c r="X15" s="33">
        <v>90001</v>
      </c>
      <c r="Y15" s="34">
        <f>136001+MAX(0,SUMIFS(INDEX(választott_kasztok,,10),INDEX(választott_kasztok,,1),$L15)-13)*40000</f>
        <v>136001</v>
      </c>
      <c r="Z15" s="10">
        <v>9</v>
      </c>
      <c r="AA15" s="10">
        <v>20</v>
      </c>
      <c r="AB15" s="10">
        <v>75</v>
      </c>
      <c r="AC15" s="10">
        <v>0</v>
      </c>
      <c r="AD15" s="10">
        <f>MAX(12,SUMIFS(INDEX(választott_kasztok,,10),INDEX(választott_kasztok,,1),$L15)*12)</f>
        <v>12</v>
      </c>
      <c r="AE15" s="37">
        <f t="shared" si="23"/>
        <v>4</v>
      </c>
      <c r="AF15" s="10">
        <f>MAX(3,SUMIFS(INDEX(választott_kasztok,,10),INDEX(választott_kasztok,,1),$L15)*3)</f>
        <v>3</v>
      </c>
      <c r="AG15" s="20">
        <f>IF(AND(többes_kaszt=iker_kaszt,váltás_kezdet=0,váltás_kezdet&lt;&gt;""),0,4)</f>
        <v>4</v>
      </c>
      <c r="AH15" s="10">
        <f>MAX(0,IF(választott_kaszt_1=$L15,IF(váltás_kezdet="",VLOOKUP($L15,választott_kasztok,10,FALSE)*6,MIN(VLOOKUP($L15,választott_kasztok,10,FALSE),váltás_kezdet)*6+IF(többes_kaszt=iker_kaszt,MAX(0,VLOOKUP($L15,választott_kasztok,10,FALSE)-váltás_kezdet),0)+IF(többes_kaszt=váltott_kaszt,MAX(0,váltás_kezdet-VLOOKUP($L15,választott_kasztok,10,FALSE))*6)),0)+IF(választott_kaszt_2=$L15,VLOOKUP($L15,választott_kasztok,10,FALSE)*IF(többes_kaszt=iker_kaszt,1,6),0))</f>
        <v>0</v>
      </c>
      <c r="AI15" s="10">
        <v>0</v>
      </c>
      <c r="AJ15" s="10">
        <v>5</v>
      </c>
      <c r="AK15" s="10">
        <v>5</v>
      </c>
      <c r="AL15" s="10">
        <f>MAX(1,SUMIFS(INDEX(választott_kasztok,,10),INDEX(választott_kasztok,,1),$L15))*(k6dobás+3)</f>
        <v>9</v>
      </c>
      <c r="AM15" s="10"/>
      <c r="AN15" s="20" t="s">
        <v>1183</v>
      </c>
      <c r="AO15" s="209" t="str">
        <f>IF(tanultMfkaszt=0,"00",IF(INDEX(választott_kasztok,tanultMfkaszt,1)=$L15,TEXT(tanultMfTSZ,"00"),"00"))&amp;"0101"</f>
        <v>000101</v>
      </c>
      <c r="AP15" s="33">
        <v>0</v>
      </c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117">
        <f>136001+MAX(0,váltás_kezdet-13)*40000</f>
        <v>136001</v>
      </c>
      <c r="BB15" s="17">
        <f t="shared" si="0"/>
        <v>13</v>
      </c>
      <c r="BC15" s="17">
        <f t="shared" si="1"/>
        <v>14</v>
      </c>
      <c r="BD15" s="17">
        <f t="shared" si="2"/>
        <v>14</v>
      </c>
      <c r="BE15" s="17">
        <f t="shared" si="3"/>
        <v>11</v>
      </c>
      <c r="BF15" s="17">
        <f t="shared" si="4"/>
        <v>10</v>
      </c>
      <c r="BG15" s="17">
        <f t="shared" si="5"/>
        <v>11</v>
      </c>
      <c r="BH15" s="17">
        <f t="shared" si="6"/>
        <v>11</v>
      </c>
      <c r="BI15" s="17">
        <f t="shared" si="7"/>
        <v>10</v>
      </c>
      <c r="BJ15" s="17">
        <f t="shared" si="8"/>
        <v>16</v>
      </c>
      <c r="BK15" s="17">
        <f t="shared" si="9"/>
        <v>14</v>
      </c>
      <c r="BL15" s="17">
        <f t="shared" si="10"/>
        <v>0</v>
      </c>
      <c r="BM15" s="13">
        <f t="shared" si="11"/>
        <v>0</v>
      </c>
      <c r="BN15" s="12"/>
      <c r="BO15" s="12" t="s">
        <v>262</v>
      </c>
      <c r="BP15" s="12" t="s">
        <v>262</v>
      </c>
      <c r="BQ15" s="12"/>
      <c r="BR15" s="12"/>
      <c r="BS15" s="12"/>
      <c r="BT15" s="12"/>
      <c r="BU15" s="12"/>
      <c r="BV15" s="12"/>
      <c r="BW15" s="51"/>
      <c r="BX15" s="12" t="s">
        <v>131</v>
      </c>
      <c r="BY15" s="12" t="s">
        <v>132</v>
      </c>
      <c r="BZ15" s="12" t="s">
        <v>132</v>
      </c>
      <c r="CA15" s="12" t="s">
        <v>129</v>
      </c>
      <c r="CB15" s="12" t="s">
        <v>128</v>
      </c>
      <c r="CC15" s="12" t="s">
        <v>129</v>
      </c>
      <c r="CD15" s="12" t="s">
        <v>129</v>
      </c>
      <c r="CE15" s="12" t="s">
        <v>128</v>
      </c>
      <c r="CF15" s="12" t="s">
        <v>134</v>
      </c>
      <c r="CG15" s="12" t="s">
        <v>132</v>
      </c>
      <c r="CH15" s="20">
        <v>1</v>
      </c>
      <c r="CI15" s="10">
        <v>18</v>
      </c>
      <c r="CJ15" s="148"/>
      <c r="CK15" s="63"/>
    </row>
    <row r="16" spans="1:89" ht="16.5" thickBot="1">
      <c r="A16" s="629" t="s">
        <v>19</v>
      </c>
      <c r="B16" s="630"/>
      <c r="C16" s="150">
        <v>0</v>
      </c>
      <c r="D16" s="10"/>
      <c r="E16" s="10"/>
      <c r="F16" s="10"/>
      <c r="G16" s="10"/>
      <c r="H16" s="10"/>
      <c r="I16" s="635"/>
      <c r="J16" s="635"/>
      <c r="K16" s="10"/>
      <c r="L16" s="262" t="s">
        <v>363</v>
      </c>
      <c r="M16" s="33">
        <v>0</v>
      </c>
      <c r="N16" s="33">
        <v>166</v>
      </c>
      <c r="O16" s="33">
        <v>331</v>
      </c>
      <c r="P16" s="33">
        <v>661</v>
      </c>
      <c r="Q16" s="33">
        <v>1486</v>
      </c>
      <c r="R16" s="33">
        <v>2901</v>
      </c>
      <c r="S16" s="33">
        <v>5801</v>
      </c>
      <c r="T16" s="33">
        <v>11001</v>
      </c>
      <c r="U16" s="33">
        <v>22001</v>
      </c>
      <c r="V16" s="33">
        <v>45001</v>
      </c>
      <c r="W16" s="33">
        <v>67001</v>
      </c>
      <c r="X16" s="33">
        <v>90001</v>
      </c>
      <c r="Y16" s="34">
        <f>136001+MAX(0,SUMIFS(INDEX(választott_kasztok,,10),INDEX(választott_kasztok,,1),$L16)-13)*40000</f>
        <v>136001</v>
      </c>
      <c r="Z16" s="10">
        <v>9</v>
      </c>
      <c r="AA16" s="10">
        <v>20</v>
      </c>
      <c r="AB16" s="10">
        <v>75</v>
      </c>
      <c r="AC16" s="10">
        <v>0</v>
      </c>
      <c r="AD16" s="10">
        <f>MAX(12,SUMIFS(INDEX(választott_kasztok,,10),INDEX(választott_kasztok,,1),$L16)*12)</f>
        <v>12</v>
      </c>
      <c r="AE16" s="10">
        <f>MAX(3,SUMIFS(INDEX(választott_kasztok,,10),INDEX(választott_kasztok,,1),$L16)*3)</f>
        <v>3</v>
      </c>
      <c r="AF16" s="37">
        <f>MAX(4,SUMIFS(INDEX(választott_kasztok,,10),INDEX(választott_kasztok,,1),$L16)*4)</f>
        <v>4</v>
      </c>
      <c r="AG16" s="20">
        <f>IF(AND(többes_kaszt=iker_kaszt,váltás_kezdet=0,váltás_kezdet&lt;&gt;""),0,4)</f>
        <v>4</v>
      </c>
      <c r="AH16" s="10">
        <f>MAX(0,IF(választott_kaszt_1=$L16,IF(váltás_kezdet="",VLOOKUP($L16,választott_kasztok,10,FALSE)*6,MIN(VLOOKUP($L16,választott_kasztok,10,FALSE),váltás_kezdet)*6+IF(többes_kaszt=iker_kaszt,MAX(0,VLOOKUP($L16,választott_kasztok,10,FALSE)-váltás_kezdet),0)+IF(többes_kaszt=váltott_kaszt,MAX(0,váltás_kezdet-VLOOKUP($L16,választott_kasztok,10,FALSE))*6)),0)+IF(választott_kaszt_2=$L16,VLOOKUP($L16,választott_kasztok,10,FALSE)*IF(többes_kaszt=iker_kaszt,1,6),0))</f>
        <v>0</v>
      </c>
      <c r="AI16" s="10">
        <v>0</v>
      </c>
      <c r="AJ16" s="10">
        <v>5</v>
      </c>
      <c r="AK16" s="10">
        <v>5</v>
      </c>
      <c r="AL16" s="10">
        <f>MAX(1,SUMIFS(INDEX(választott_kasztok,,10),INDEX(választott_kasztok,,1),$L16))*(k6dobás+3)</f>
        <v>9</v>
      </c>
      <c r="AM16" s="10"/>
      <c r="AN16" s="20" t="s">
        <v>1183</v>
      </c>
      <c r="AO16" s="209" t="str">
        <f>IF(tanultMfkaszt=0,"00",IF(INDEX(választott_kasztok,tanultMfkaszt,1)=$L16,TEXT(tanultMfTSZ,"00"),"00"))&amp;"0101"</f>
        <v>000101</v>
      </c>
      <c r="AP16" s="33">
        <v>0</v>
      </c>
      <c r="AQ16" s="56"/>
      <c r="AR16" s="56"/>
      <c r="AS16" s="62">
        <f>20+MAX(0,SUMIFS(INDEX(választott_kasztok,,10),INDEX(választott_kasztok,,1),$L16)-1)*3</f>
        <v>20</v>
      </c>
      <c r="AT16" s="56"/>
      <c r="AU16" s="56"/>
      <c r="AV16" s="56"/>
      <c r="AW16" s="56"/>
      <c r="AX16" s="56"/>
      <c r="AY16" s="56"/>
      <c r="AZ16" s="56"/>
      <c r="BA16" s="117">
        <f>136001+MAX(0,váltás_kezdet-13)*40000</f>
        <v>136001</v>
      </c>
      <c r="BB16" s="17">
        <f t="shared" si="0"/>
        <v>13</v>
      </c>
      <c r="BC16" s="17">
        <f t="shared" si="1"/>
        <v>14</v>
      </c>
      <c r="BD16" s="17">
        <f t="shared" si="2"/>
        <v>14</v>
      </c>
      <c r="BE16" s="17">
        <f t="shared" si="3"/>
        <v>11</v>
      </c>
      <c r="BF16" s="17">
        <f t="shared" si="4"/>
        <v>10</v>
      </c>
      <c r="BG16" s="17">
        <f t="shared" si="5"/>
        <v>11</v>
      </c>
      <c r="BH16" s="17">
        <f t="shared" si="6"/>
        <v>11</v>
      </c>
      <c r="BI16" s="17">
        <f t="shared" si="7"/>
        <v>10</v>
      </c>
      <c r="BJ16" s="17">
        <f t="shared" si="8"/>
        <v>16</v>
      </c>
      <c r="BK16" s="17">
        <f t="shared" si="9"/>
        <v>14</v>
      </c>
      <c r="BL16" s="17">
        <f t="shared" si="10"/>
        <v>0</v>
      </c>
      <c r="BM16" s="13">
        <f t="shared" si="11"/>
        <v>0</v>
      </c>
      <c r="BN16" s="12"/>
      <c r="BO16" s="12" t="s">
        <v>262</v>
      </c>
      <c r="BP16" s="12" t="s">
        <v>262</v>
      </c>
      <c r="BQ16" s="12"/>
      <c r="BR16" s="12"/>
      <c r="BS16" s="12"/>
      <c r="BT16" s="12"/>
      <c r="BU16" s="12"/>
      <c r="BV16" s="12"/>
      <c r="BW16" s="51"/>
      <c r="BX16" s="12" t="s">
        <v>131</v>
      </c>
      <c r="BY16" s="12" t="s">
        <v>132</v>
      </c>
      <c r="BZ16" s="12" t="s">
        <v>132</v>
      </c>
      <c r="CA16" s="12" t="s">
        <v>129</v>
      </c>
      <c r="CB16" s="12" t="s">
        <v>128</v>
      </c>
      <c r="CC16" s="12" t="s">
        <v>129</v>
      </c>
      <c r="CD16" s="12" t="s">
        <v>129</v>
      </c>
      <c r="CE16" s="12" t="s">
        <v>128</v>
      </c>
      <c r="CF16" s="12" t="s">
        <v>134</v>
      </c>
      <c r="CG16" s="12" t="s">
        <v>132</v>
      </c>
      <c r="CH16" s="20">
        <v>1</v>
      </c>
      <c r="CI16" s="10">
        <v>18</v>
      </c>
      <c r="CJ16" s="148"/>
      <c r="CK16" s="63"/>
    </row>
    <row r="17" spans="1:89" ht="15.75">
      <c r="A17" s="629" t="s">
        <v>800</v>
      </c>
      <c r="B17" s="630"/>
      <c r="C17" s="150">
        <v>0</v>
      </c>
      <c r="D17" s="10"/>
      <c r="E17" s="631" t="s">
        <v>58</v>
      </c>
      <c r="F17" s="632"/>
      <c r="G17" s="274"/>
      <c r="H17" s="151" t="s">
        <v>124</v>
      </c>
      <c r="I17" s="152"/>
      <c r="J17" s="153">
        <v>0</v>
      </c>
      <c r="K17" s="10"/>
      <c r="L17" s="262" t="s">
        <v>364</v>
      </c>
      <c r="M17" s="33">
        <v>0</v>
      </c>
      <c r="N17" s="33">
        <v>166</v>
      </c>
      <c r="O17" s="33">
        <v>331</v>
      </c>
      <c r="P17" s="33">
        <v>661</v>
      </c>
      <c r="Q17" s="33">
        <v>1486</v>
      </c>
      <c r="R17" s="33">
        <v>2901</v>
      </c>
      <c r="S17" s="33">
        <v>5801</v>
      </c>
      <c r="T17" s="33">
        <v>11001</v>
      </c>
      <c r="U17" s="33">
        <v>22001</v>
      </c>
      <c r="V17" s="33">
        <v>45001</v>
      </c>
      <c r="W17" s="33">
        <v>67001</v>
      </c>
      <c r="X17" s="33">
        <v>90001</v>
      </c>
      <c r="Y17" s="34">
        <f>136001+MAX(0,SUMIFS(INDEX(választott_kasztok,,10),INDEX(választott_kasztok,,1),$L17)-13)*40000</f>
        <v>136001</v>
      </c>
      <c r="Z17" s="20">
        <v>9</v>
      </c>
      <c r="AA17" s="10">
        <v>20</v>
      </c>
      <c r="AB17" s="10">
        <v>75</v>
      </c>
      <c r="AC17" s="10">
        <v>0</v>
      </c>
      <c r="AD17" s="20">
        <f>MAX((12-0),SUMIFS(INDEX(választott_kasztok,,10),INDEX(választott_kasztok,,1),$L17)*12)</f>
        <v>12</v>
      </c>
      <c r="AE17" s="10">
        <f>MAX(3,SUMIFS(INDEX(választott_kasztok,,10),INDEX(választott_kasztok,,1),$L17)*3)</f>
        <v>3</v>
      </c>
      <c r="AF17" s="10">
        <f>MAX(3,SUMIFS(INDEX(választott_kasztok,,10),INDEX(választott_kasztok,,1),$L17)*3)</f>
        <v>3</v>
      </c>
      <c r="AG17" s="20">
        <f>IF(AND(többes_kaszt=iker_kaszt,váltás_kezdet=0,váltás_kezdet&lt;&gt;""),0,4)</f>
        <v>4</v>
      </c>
      <c r="AH17" s="10">
        <f>MAX(0,IF(választott_kaszt_1=$L17,IF(váltás_kezdet="",VLOOKUP($L17,választott_kasztok,10,FALSE)*6,MIN(VLOOKUP($L17,választott_kasztok,10,FALSE),váltás_kezdet)*6+IF(többes_kaszt=iker_kaszt,MAX(0,VLOOKUP($L17,választott_kasztok,10,FALSE)-váltás_kezdet),0)+IF(többes_kaszt=váltott_kaszt,MAX(0,váltás_kezdet-VLOOKUP($L17,választott_kasztok,10,FALSE))*6)),0)+IF(választott_kaszt_2=$L17,VLOOKUP($L17,választott_kasztok,10,FALSE)*IF(többes_kaszt=iker_kaszt,1,6),0))</f>
        <v>0</v>
      </c>
      <c r="AI17" s="10">
        <v>0</v>
      </c>
      <c r="AJ17" s="10">
        <v>5</v>
      </c>
      <c r="AK17" s="10">
        <v>5</v>
      </c>
      <c r="AL17" s="10">
        <f>MAX(1,SUMIFS(INDEX(választott_kasztok,,10),INDEX(választott_kasztok,,1),$L17))*(k6dobás+3)</f>
        <v>9</v>
      </c>
      <c r="AM17" s="10"/>
      <c r="AN17" s="20" t="s">
        <v>1183</v>
      </c>
      <c r="AO17" s="209" t="str">
        <f>IF(tanultMfkaszt=0,"00",IF(INDEX(választott_kasztok,tanultMfkaszt,1)=$L17,TEXT(tanultMfTSZ,"00"),"00"))&amp;"0101"</f>
        <v>000101</v>
      </c>
      <c r="AP17" s="33">
        <v>0</v>
      </c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117">
        <f>136001+MAX(0,váltás_kezdet-13)*40000</f>
        <v>136001</v>
      </c>
      <c r="BB17" s="17">
        <f t="shared" si="0"/>
        <v>13</v>
      </c>
      <c r="BC17" s="17">
        <f t="shared" si="1"/>
        <v>14</v>
      </c>
      <c r="BD17" s="17">
        <f t="shared" si="2"/>
        <v>14</v>
      </c>
      <c r="BE17" s="17">
        <f t="shared" si="3"/>
        <v>11</v>
      </c>
      <c r="BF17" s="17">
        <f t="shared" si="4"/>
        <v>10</v>
      </c>
      <c r="BG17" s="17">
        <f t="shared" si="5"/>
        <v>11</v>
      </c>
      <c r="BH17" s="17">
        <f t="shared" si="6"/>
        <v>11</v>
      </c>
      <c r="BI17" s="17">
        <f t="shared" si="7"/>
        <v>10</v>
      </c>
      <c r="BJ17" s="17">
        <f t="shared" si="8"/>
        <v>16</v>
      </c>
      <c r="BK17" s="17">
        <f t="shared" si="9"/>
        <v>14</v>
      </c>
      <c r="BL17" s="17">
        <f t="shared" si="10"/>
        <v>0</v>
      </c>
      <c r="BM17" s="13">
        <f t="shared" si="11"/>
        <v>0</v>
      </c>
      <c r="BN17" s="12"/>
      <c r="BO17" s="12" t="s">
        <v>262</v>
      </c>
      <c r="BP17" s="12" t="s">
        <v>262</v>
      </c>
      <c r="BQ17" s="12"/>
      <c r="BR17" s="12"/>
      <c r="BS17" s="12"/>
      <c r="BT17" s="12"/>
      <c r="BU17" s="12"/>
      <c r="BV17" s="12"/>
      <c r="BW17" s="51"/>
      <c r="BX17" s="12" t="s">
        <v>131</v>
      </c>
      <c r="BY17" s="12" t="s">
        <v>132</v>
      </c>
      <c r="BZ17" s="12" t="s">
        <v>132</v>
      </c>
      <c r="CA17" s="12" t="s">
        <v>129</v>
      </c>
      <c r="CB17" s="12" t="s">
        <v>128</v>
      </c>
      <c r="CC17" s="12" t="s">
        <v>129</v>
      </c>
      <c r="CD17" s="12" t="s">
        <v>129</v>
      </c>
      <c r="CE17" s="12" t="s">
        <v>128</v>
      </c>
      <c r="CF17" s="12" t="s">
        <v>134</v>
      </c>
      <c r="CG17" s="12" t="s">
        <v>132</v>
      </c>
      <c r="CH17" s="20">
        <v>1</v>
      </c>
      <c r="CI17" s="10">
        <v>18</v>
      </c>
      <c r="CJ17" s="148"/>
      <c r="CK17" s="63"/>
    </row>
    <row r="18" spans="1:89" ht="16.5" thickBot="1">
      <c r="A18" s="618" t="s">
        <v>801</v>
      </c>
      <c r="B18" s="619"/>
      <c r="C18" s="197">
        <v>0</v>
      </c>
      <c r="D18" s="10"/>
      <c r="E18" s="30">
        <v>6</v>
      </c>
      <c r="F18" s="27"/>
      <c r="G18" s="21"/>
      <c r="H18" s="154" t="s">
        <v>125</v>
      </c>
      <c r="I18" s="155"/>
      <c r="J18" s="156">
        <v>0</v>
      </c>
      <c r="K18" s="10"/>
      <c r="L18" s="265" t="s">
        <v>104</v>
      </c>
      <c r="M18" s="33">
        <v>0</v>
      </c>
      <c r="N18" s="33">
        <v>151</v>
      </c>
      <c r="O18" s="33">
        <v>311</v>
      </c>
      <c r="P18" s="33">
        <v>631</v>
      </c>
      <c r="Q18" s="33">
        <v>1301</v>
      </c>
      <c r="R18" s="33">
        <v>2701</v>
      </c>
      <c r="S18" s="33">
        <v>5401</v>
      </c>
      <c r="T18" s="33">
        <v>10801</v>
      </c>
      <c r="U18" s="33">
        <v>21601</v>
      </c>
      <c r="V18" s="33">
        <v>42001</v>
      </c>
      <c r="W18" s="33">
        <v>65001</v>
      </c>
      <c r="X18" s="33">
        <v>90001</v>
      </c>
      <c r="Y18" s="34">
        <f>120001+MAX(0,SUMIFS(INDEX(választott_kasztok,,10),INDEX(választott_kasztok,,1),$L18)-13)*32500</f>
        <v>120001</v>
      </c>
      <c r="Z18" s="20">
        <v>10</v>
      </c>
      <c r="AA18" s="10">
        <v>26</v>
      </c>
      <c r="AB18" s="10">
        <v>70</v>
      </c>
      <c r="AC18" s="10">
        <v>0</v>
      </c>
      <c r="AD18" s="10">
        <f>MAX(12,SUMIFS(INDEX(választott_kasztok,,10),INDEX(választott_kasztok,,1),$L18)*12)</f>
        <v>12</v>
      </c>
      <c r="AE18" s="10">
        <f>MAX(5,SUMIFS(INDEX(választott_kasztok,,10),INDEX(választott_kasztok,,1),$L18)*5)</f>
        <v>5</v>
      </c>
      <c r="AF18" s="37">
        <f>MAX(0,SUMIFS(INDEX(választott_kasztok,,10),INDEX(választott_kasztok,,1),$L18)*0)</f>
        <v>0</v>
      </c>
      <c r="AG18" s="20">
        <f>IF(AND(többes_kaszt=iker_kaszt,váltás_kezdet=0,váltás_kezdet&lt;&gt;""),0,7)</f>
        <v>7</v>
      </c>
      <c r="AH18" s="10">
        <f>MAX(0,IF(választott_kaszt_1=$L18,IF(váltás_kezdet="",VLOOKUP($L18,választott_kasztok,10,FALSE)*10,MIN(VLOOKUP($L18,választott_kasztok,10,FALSE),váltás_kezdet)*10+IF(többes_kaszt=iker_kaszt,MAX(0,VLOOKUP($L18,választott_kasztok,10,FALSE)-váltás_kezdet),0)+IF(többes_kaszt=váltott_kaszt,MAX(0,váltás_kezdet-VLOOKUP($L18,választott_kasztok,10,FALSE))*10)),0)+IF(választott_kaszt_2=$L18,VLOOKUP($L18,választott_kasztok,10,FALSE)*IF(többes_kaszt=iker_kaszt,1,10),0))</f>
        <v>0</v>
      </c>
      <c r="AI18" s="10">
        <v>0</v>
      </c>
      <c r="AJ18" s="10">
        <v>8</v>
      </c>
      <c r="AK18" s="10">
        <v>7</v>
      </c>
      <c r="AL18" s="10">
        <f>MAX(1,SUMIFS(INDEX(választott_kasztok,,10),INDEX(választott_kasztok,,1),$L18))*(k6dobás+5)</f>
        <v>11</v>
      </c>
      <c r="AM18" s="10"/>
      <c r="AN18" s="20" t="s">
        <v>107</v>
      </c>
      <c r="AO18" s="208"/>
      <c r="AP18" s="33">
        <v>0</v>
      </c>
      <c r="AQ18" s="56"/>
      <c r="AR18" s="56">
        <v>40</v>
      </c>
      <c r="AS18" s="56">
        <v>25</v>
      </c>
      <c r="AT18" s="56"/>
      <c r="AU18" s="56"/>
      <c r="AV18" s="56"/>
      <c r="AW18" s="56"/>
      <c r="AX18" s="56"/>
      <c r="AY18" s="56"/>
      <c r="AZ18" s="56"/>
      <c r="BA18" s="117">
        <f>120001+MAX(0,váltás_kezdet-13)*32500</f>
        <v>120001</v>
      </c>
      <c r="BB18" s="116">
        <f t="shared" si="0"/>
        <v>18</v>
      </c>
      <c r="BC18" s="17">
        <f t="shared" si="1"/>
        <v>14</v>
      </c>
      <c r="BD18" s="17">
        <f t="shared" si="2"/>
        <v>13</v>
      </c>
      <c r="BE18" s="116">
        <f t="shared" si="3"/>
        <v>18</v>
      </c>
      <c r="BF18" s="116">
        <f t="shared" si="4"/>
        <v>16</v>
      </c>
      <c r="BG18" s="17">
        <f t="shared" si="5"/>
        <v>11</v>
      </c>
      <c r="BH18" s="17">
        <f t="shared" si="6"/>
        <v>10</v>
      </c>
      <c r="BI18" s="17">
        <f t="shared" si="7"/>
        <v>13</v>
      </c>
      <c r="BJ18" s="17">
        <f t="shared" si="8"/>
        <v>9</v>
      </c>
      <c r="BK18" s="17">
        <f t="shared" si="9"/>
        <v>14</v>
      </c>
      <c r="BL18" s="17">
        <f t="shared" si="10"/>
        <v>0</v>
      </c>
      <c r="BM18" s="13">
        <f t="shared" si="11"/>
        <v>0</v>
      </c>
      <c r="BN18" s="12" t="s">
        <v>262</v>
      </c>
      <c r="BO18" s="12"/>
      <c r="BP18" s="12"/>
      <c r="BQ18" s="12"/>
      <c r="BR18" s="12"/>
      <c r="BS18" s="12"/>
      <c r="BT18" s="12"/>
      <c r="BU18" s="12"/>
      <c r="BV18" s="12"/>
      <c r="BW18" s="51"/>
      <c r="BX18" s="12" t="s">
        <v>136</v>
      </c>
      <c r="BY18" s="12" t="s">
        <v>132</v>
      </c>
      <c r="BZ18" s="12" t="s">
        <v>131</v>
      </c>
      <c r="CA18" s="12" t="s">
        <v>136</v>
      </c>
      <c r="CB18" s="12" t="s">
        <v>135</v>
      </c>
      <c r="CC18" s="12" t="s">
        <v>129</v>
      </c>
      <c r="CD18" s="12" t="s">
        <v>128</v>
      </c>
      <c r="CE18" s="12" t="s">
        <v>131</v>
      </c>
      <c r="CF18" s="12" t="s">
        <v>127</v>
      </c>
      <c r="CG18" s="12" t="s">
        <v>132</v>
      </c>
      <c r="CH18" s="20">
        <v>1</v>
      </c>
      <c r="CI18" s="10">
        <v>18</v>
      </c>
      <c r="CJ18" s="148"/>
      <c r="CK18" s="63"/>
    </row>
    <row r="19" spans="1:89" ht="15.75" customHeight="1" thickBot="1">
      <c r="A19" s="183"/>
      <c r="B19" s="183"/>
      <c r="C19" s="19"/>
      <c r="D19" s="10"/>
      <c r="E19" s="14"/>
      <c r="F19" s="14"/>
      <c r="G19" s="21"/>
      <c r="H19" s="22"/>
      <c r="I19" s="22"/>
      <c r="J19" s="22"/>
      <c r="K19" s="10"/>
      <c r="L19" s="10" t="s">
        <v>37</v>
      </c>
      <c r="M19" s="33">
        <v>0</v>
      </c>
      <c r="N19" s="33">
        <v>171</v>
      </c>
      <c r="O19" s="33">
        <v>351</v>
      </c>
      <c r="P19" s="33">
        <v>1001</v>
      </c>
      <c r="Q19" s="33">
        <v>2201</v>
      </c>
      <c r="R19" s="33">
        <v>4401</v>
      </c>
      <c r="S19" s="33">
        <v>7501</v>
      </c>
      <c r="T19" s="33">
        <v>15001</v>
      </c>
      <c r="U19" s="33">
        <v>30001</v>
      </c>
      <c r="V19" s="33">
        <v>55001</v>
      </c>
      <c r="W19" s="33">
        <v>75001</v>
      </c>
      <c r="X19" s="33">
        <v>95001</v>
      </c>
      <c r="Y19" s="34">
        <f>145001+MAX(0,SUMIFS(INDEX(választott_kasztok,,10),INDEX(választott_kasztok,,1),$L19)-13)*40000</f>
        <v>145001</v>
      </c>
      <c r="Z19" s="10">
        <v>10</v>
      </c>
      <c r="AA19" s="10">
        <v>20</v>
      </c>
      <c r="AB19" s="10">
        <v>75</v>
      </c>
      <c r="AC19" s="10">
        <v>10</v>
      </c>
      <c r="AD19" s="10">
        <f>MAX(9,SUMIFS(INDEX(választott_kasztok,,10),INDEX(választott_kasztok,,1),$L19)*9)</f>
        <v>9</v>
      </c>
      <c r="AE19" s="10">
        <f t="shared" ref="AE19:AF21" si="47">MAX(2,SUMIFS(INDEX(választott_kasztok,,10),INDEX(választott_kasztok,,1),$L19)*2)</f>
        <v>2</v>
      </c>
      <c r="AF19" s="10">
        <f t="shared" si="47"/>
        <v>2</v>
      </c>
      <c r="AG19" s="20">
        <f>IF(AND(többes_kaszt=iker_kaszt,váltás_kezdet=0,váltás_kezdet&lt;&gt;""),0,4)</f>
        <v>4</v>
      </c>
      <c r="AH19" s="10">
        <f>MAX(0,IF(választott_kaszt_1=$L19,IF(váltás_kezdet="",VLOOKUP($L19,választott_kasztok,10,FALSE)*6,MIN(VLOOKUP($L19,választott_kasztok,10,FALSE),váltás_kezdet)*6+IF(többes_kaszt=iker_kaszt,MAX(0,VLOOKUP($L19,választott_kasztok,10,FALSE)-váltás_kezdet),0)+IF(többes_kaszt=váltott_kaszt,MAX(0,váltás_kezdet-VLOOKUP($L19,választott_kasztok,10,FALSE))*6)),0)+IF(választott_kaszt_2=$L19,VLOOKUP($L19,választott_kasztok,10,FALSE)*IF(többes_kaszt=iker_kaszt,1,6),0))</f>
        <v>0</v>
      </c>
      <c r="AI19" s="10">
        <f>MAX(45,IF(AND(többes_kaszt=váltott_kaszt,választott_kaszt_1=$L19),váltás_kezdet*45,SUMIFS(INDEX(választott_kasztok,,10),INDEX(választott_kasztok,,1),$L19)*45))</f>
        <v>45</v>
      </c>
      <c r="AJ19" s="10">
        <v>5</v>
      </c>
      <c r="AK19" s="10">
        <v>6</v>
      </c>
      <c r="AL19" s="10">
        <f>MAX(1,SUMIFS(INDEX(választott_kasztok,,10),INDEX(választott_kasztok,,1),$L19))*(k6dobás+3)</f>
        <v>9</v>
      </c>
      <c r="AM19" s="10">
        <f>MAX(MAX(0,intelligencia-10),SUMIFS(INDEX(választott_kasztok,,10),INDEX(választott_kasztok,,1),$L19)*MAX(0,intelligencia-10))</f>
        <v>0</v>
      </c>
      <c r="AN19" s="20" t="s">
        <v>1183</v>
      </c>
      <c r="AO19" s="209" t="str">
        <f>TEXT(IF(tanultMfkaszt=0,IF(SUMIFS(INDEX(választott_kasztok,,10),INDEX(választott_kasztok,,1),$L19)&lt;5,0,5),IF(INDEX(választott_kasztok,tanultMfkaszt,1)=$L19,IF(OR(tanultMfTSZ=0,tanultMfTSZ&gt;MIN(5,SUMIFS(INDEX(választott_kasztok,,10),INDEX(választott_kasztok,,1),$L19))),IF(SUMIFS(INDEX(választott_kasztok,,10),INDEX(választott_kasztok,,1),$L19)&lt;5,0,5),MIN(5,tanultMfTSZ)),0)),"00")&amp;"0101"</f>
        <v>000101</v>
      </c>
      <c r="AP19" s="33">
        <v>0</v>
      </c>
      <c r="AQ19" s="56">
        <v>25</v>
      </c>
      <c r="AR19" s="56">
        <v>5</v>
      </c>
      <c r="AS19" s="56">
        <v>10</v>
      </c>
      <c r="AT19" s="56">
        <v>20</v>
      </c>
      <c r="AU19" s="56">
        <v>10</v>
      </c>
      <c r="AV19" s="56">
        <v>5</v>
      </c>
      <c r="AW19" s="56">
        <v>5</v>
      </c>
      <c r="AX19" s="56">
        <v>10</v>
      </c>
      <c r="AY19" s="56"/>
      <c r="AZ19" s="56">
        <v>5</v>
      </c>
      <c r="BA19" s="117">
        <f>145001+MAX(0,váltás_kezdet-13)*40000</f>
        <v>145001</v>
      </c>
      <c r="BB19" s="17">
        <f t="shared" si="0"/>
        <v>14</v>
      </c>
      <c r="BC19" s="17">
        <f t="shared" si="1"/>
        <v>14</v>
      </c>
      <c r="BD19" s="17">
        <f t="shared" si="2"/>
        <v>14</v>
      </c>
      <c r="BE19" s="17">
        <f t="shared" si="3"/>
        <v>13</v>
      </c>
      <c r="BF19" s="17">
        <f t="shared" si="4"/>
        <v>13</v>
      </c>
      <c r="BG19" s="17">
        <f t="shared" si="5"/>
        <v>16</v>
      </c>
      <c r="BH19" s="17">
        <f t="shared" si="6"/>
        <v>15</v>
      </c>
      <c r="BI19" s="17">
        <f t="shared" si="7"/>
        <v>13</v>
      </c>
      <c r="BJ19" s="17">
        <f t="shared" si="8"/>
        <v>14</v>
      </c>
      <c r="BK19" s="17">
        <f t="shared" si="9"/>
        <v>14</v>
      </c>
      <c r="BL19" s="17">
        <f t="shared" si="10"/>
        <v>0</v>
      </c>
      <c r="BM19" s="13">
        <f t="shared" si="11"/>
        <v>0</v>
      </c>
      <c r="BN19" s="12"/>
      <c r="BO19" s="12" t="s">
        <v>262</v>
      </c>
      <c r="BP19" s="12"/>
      <c r="BQ19" s="12"/>
      <c r="BR19" s="12"/>
      <c r="BS19" s="12" t="s">
        <v>262</v>
      </c>
      <c r="BT19" s="12"/>
      <c r="BU19" s="12"/>
      <c r="BV19" s="12"/>
      <c r="BW19" s="51"/>
      <c r="BX19" s="12" t="s">
        <v>132</v>
      </c>
      <c r="BY19" s="12" t="s">
        <v>132</v>
      </c>
      <c r="BZ19" s="12" t="s">
        <v>132</v>
      </c>
      <c r="CA19" s="12" t="s">
        <v>131</v>
      </c>
      <c r="CB19" s="12" t="s">
        <v>131</v>
      </c>
      <c r="CC19" s="12" t="s">
        <v>134</v>
      </c>
      <c r="CD19" s="12" t="s">
        <v>133</v>
      </c>
      <c r="CE19" s="12" t="s">
        <v>131</v>
      </c>
      <c r="CF19" s="12" t="s">
        <v>132</v>
      </c>
      <c r="CG19" s="12" t="s">
        <v>132</v>
      </c>
      <c r="CH19" s="20">
        <v>1</v>
      </c>
      <c r="CI19" s="10">
        <v>10</v>
      </c>
      <c r="CJ19" s="148"/>
      <c r="CK19" s="63"/>
    </row>
    <row r="20" spans="1:89" ht="15.75" thickBot="1">
      <c r="A20" s="610" t="s">
        <v>111</v>
      </c>
      <c r="B20" s="611"/>
      <c r="C20" s="611"/>
      <c r="D20" s="611"/>
      <c r="E20" s="611"/>
      <c r="F20" s="611"/>
      <c r="G20" s="611"/>
      <c r="H20" s="611"/>
      <c r="I20" s="127" t="str">
        <f>IF(többes_kaszt=váltott_kaszt,ROUNDUP(VLOOKUP(választott_kaszt_1,kasztok,19,FALSE)/(VLOOKUP(választott_kaszt_2,kasztok,19,FALSE)/kaszt_szint_2),0),"Nem váltott")</f>
        <v>Nem váltott</v>
      </c>
      <c r="J20" s="10"/>
      <c r="K20" s="10"/>
      <c r="L20" s="20" t="s">
        <v>1151</v>
      </c>
      <c r="M20" s="34">
        <v>0</v>
      </c>
      <c r="N20" s="34">
        <v>171</v>
      </c>
      <c r="O20" s="34">
        <v>351</v>
      </c>
      <c r="P20" s="34">
        <v>1001</v>
      </c>
      <c r="Q20" s="34">
        <v>2201</v>
      </c>
      <c r="R20" s="34">
        <v>4401</v>
      </c>
      <c r="S20" s="34">
        <v>7501</v>
      </c>
      <c r="T20" s="34">
        <v>15001</v>
      </c>
      <c r="U20" s="34">
        <v>30001</v>
      </c>
      <c r="V20" s="34">
        <v>55001</v>
      </c>
      <c r="W20" s="34">
        <v>75001</v>
      </c>
      <c r="X20" s="34">
        <v>95001</v>
      </c>
      <c r="Y20" s="34">
        <f>145001+MAX(0,SUMIFS(INDEX(választott_kasztok,,10),INDEX(választott_kasztok,,1),$L20)-13)*40000</f>
        <v>145001</v>
      </c>
      <c r="Z20" s="20">
        <v>10</v>
      </c>
      <c r="AA20" s="20">
        <v>20</v>
      </c>
      <c r="AB20" s="20">
        <v>75</v>
      </c>
      <c r="AC20" s="20">
        <v>10</v>
      </c>
      <c r="AD20" s="20">
        <f>MAX(9,SUMIFS(INDEX(választott_kasztok,,10),INDEX(választott_kasztok,,1),$L20)*9)</f>
        <v>9</v>
      </c>
      <c r="AE20" s="20">
        <f t="shared" si="47"/>
        <v>2</v>
      </c>
      <c r="AF20" s="20">
        <f t="shared" si="47"/>
        <v>2</v>
      </c>
      <c r="AG20" s="20">
        <f>IF(AND(többes_kaszt=iker_kaszt,váltás_kezdet=0,váltás_kezdet&lt;&gt;""),0,4)</f>
        <v>4</v>
      </c>
      <c r="AH20" s="20">
        <f>MAX(0,IF(választott_kaszt_1=$L20,IF(váltás_kezdet="",VLOOKUP($L20,választott_kasztok,10,FALSE)*6,MIN(VLOOKUP($L20,választott_kasztok,10,FALSE),váltás_kezdet)*6+IF(többes_kaszt=iker_kaszt,MAX(0,VLOOKUP($L20,választott_kasztok,10,FALSE)-váltás_kezdet),0)+IF(többes_kaszt=váltott_kaszt,MAX(0,váltás_kezdet-VLOOKUP($L20,választott_kasztok,10,FALSE))*6)),0)+IF(választott_kaszt_2=$L20,VLOOKUP($L20,választott_kasztok,10,FALSE)*IF(többes_kaszt=iker_kaszt,1,6),0))</f>
        <v>0</v>
      </c>
      <c r="AI20" s="10">
        <v>0</v>
      </c>
      <c r="AJ20" s="20">
        <v>5</v>
      </c>
      <c r="AK20" s="20">
        <v>6</v>
      </c>
      <c r="AL20" s="20">
        <f>MAX(1,SUMIFS(INDEX(választott_kasztok,,10),INDEX(választott_kasztok,,1),$L20))*(k6dobás+3)</f>
        <v>9</v>
      </c>
      <c r="AM20" s="20">
        <f>MAX(MAX(0,intelligencia-10)+1,SUMIFS(INDEX(választott_kasztok,,10),INDEX(választott_kasztok,,1),$L20)*(MAX(0,intelligencia-10)+1))</f>
        <v>1</v>
      </c>
      <c r="AN20" s="20" t="s">
        <v>1183</v>
      </c>
      <c r="AO20" s="209" t="str">
        <f>TEXT(IF(tanultMfkaszt=0,IF(SUMIFS(INDEX(választott_kasztok,,10),INDEX(választott_kasztok,,1),$L20)&lt;4,0,4),IF(INDEX(választott_kasztok,tanultMfkaszt,1)=$L20,IF(OR(tanultMfTSZ=0,tanultMfTSZ&gt;MIN(4,SUMIFS(INDEX(választott_kasztok,,10),INDEX(választott_kasztok,,1),$L20))),IF(SUMIFS(INDEX(választott_kasztok,,10),INDEX(választott_kasztok,,1),$L20)&lt;4,0,4),MIN(4,tanultMfTSZ)),0)),"00")&amp;"0101"</f>
        <v>000101</v>
      </c>
      <c r="AP20" s="34">
        <v>0</v>
      </c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117">
        <f>145001+MAX(0,váltás_kezdet-13)*40000</f>
        <v>145001</v>
      </c>
      <c r="BB20" s="31">
        <f t="shared" ref="BB20:BB21" si="48">MAX(SUMIFS(INDEX(dobások,,2),INDEX(dobások,,1),BX20)+SUMIFS(INDEX(fajok,,3),INDEX(fajok,,1),választott_faj),IF(AND(többes_kaszt=iker_kaszt,váltás_kezdet=1,választott_kaszt_1=$L20),SUMIFS(INDEX(kasztok,,43),INDEX(kasztok,,1),választott_kaszt_2),0))</f>
        <v>14</v>
      </c>
      <c r="BC20" s="31">
        <f t="shared" ref="BC20:BC21" si="49">MAX(SUMIFS(INDEX(dobások,,2),INDEX(dobások,,1),BY20)+SUMIFS(INDEX(fajok,,4),INDEX(fajok,,1),választott_faj),IF(AND(többes_kaszt=iker_kaszt,váltás_kezdet=1,választott_kaszt_1=$L20),SUMIFS(INDEX(kasztok,,44),INDEX(kasztok,,1),választott_kaszt_2),0))</f>
        <v>14</v>
      </c>
      <c r="BD20" s="31">
        <f t="shared" ref="BD20:BD21" si="50">MAX(SUMIFS(INDEX(dobások,,2),INDEX(dobások,,1),BZ20)+SUMIFS(INDEX(fajok,,5),INDEX(fajok,,1),választott_faj),IF(AND(többes_kaszt=iker_kaszt,váltás_kezdet=1,választott_kaszt_1=$L20),SUMIFS(INDEX(kasztok,,45),INDEX(kasztok,,1),választott_kaszt_2),0))</f>
        <v>14</v>
      </c>
      <c r="BE20" s="31">
        <f t="shared" ref="BE20:BE21" si="51">MAX(SUMIFS(INDEX(dobások,,2),INDEX(dobások,,1),CA20)+SUMIFS(INDEX(fajok,,6),INDEX(fajok,,1),választott_faj),IF(AND(többes_kaszt=iker_kaszt,váltás_kezdet=1,választott_kaszt_1=$L20),SUMIFS(INDEX(kasztok,,46),INDEX(kasztok,,1),választott_kaszt_2),0))</f>
        <v>13</v>
      </c>
      <c r="BF20" s="31">
        <f t="shared" ref="BF20:BF21" si="52">MAX(SUMIFS(INDEX(dobások,,2),INDEX(dobások,,1),CB20)+SUMIFS(INDEX(fajok,,7),INDEX(fajok,,1),választott_faj),IF(AND(többes_kaszt=iker_kaszt,váltás_kezdet=1,választott_kaszt_1=$L20),SUMIFS(INDEX(kasztok,,47),INDEX(kasztok,,1),választott_kaszt_2),0))</f>
        <v>13</v>
      </c>
      <c r="BG20" s="31">
        <f t="shared" ref="BG20:BG21" si="53">MAX(SUMIFS(INDEX(dobások,,2),INDEX(dobások,,1),CC20)+SUMIFS(INDEX(fajok,,8),INDEX(fajok,,1),választott_faj),IF(AND(többes_kaszt=iker_kaszt,váltás_kezdet=1,választott_kaszt_1=$L20),SUMIFS(INDEX(kasztok,,48),INDEX(kasztok,,1),választott_kaszt_2),0))</f>
        <v>16</v>
      </c>
      <c r="BH20" s="31">
        <f t="shared" ref="BH20:BH21" si="54">MAX(SUMIFS(INDEX(dobások,,2),INDEX(dobások,,1),CD20)+SUMIFS(INDEX(fajok,,9),INDEX(fajok,,1),választott_faj),IF(AND(többes_kaszt=iker_kaszt,váltás_kezdet=1,választott_kaszt_1=$L20),SUMIFS(INDEX(kasztok,,49),INDEX(kasztok,,1),választott_kaszt_2),0))</f>
        <v>15</v>
      </c>
      <c r="BI20" s="31">
        <f t="shared" ref="BI20:BI21" si="55">MAX(SUMIFS(INDEX(dobások,,2),INDEX(dobások,,1),CE20),IF(AND(többes_kaszt=iker_kaszt,váltás_kezdet=1,választott_kaszt_1=$L20),SUMIFS(INDEX(kasztok,,50),INDEX(kasztok,,1),választott_kaszt_2),0))</f>
        <v>13</v>
      </c>
      <c r="BJ20" s="31">
        <f t="shared" ref="BJ20:BJ21" si="56">MAX(SUMIFS(INDEX(dobások,,2),INDEX(dobások,,1),CF20)+SUMIFS(INDEX(fajok,,10),INDEX(fajok,,1),választott_faj),IF(AND(többes_kaszt=iker_kaszt,váltás_kezdet=1,választott_kaszt_1=$L20),SUMIFS(INDEX(kasztok,,51),INDEX(kasztok,,1),választott_kaszt_2),0))</f>
        <v>14</v>
      </c>
      <c r="BK20" s="31">
        <f t="shared" ref="BK20:BK21" si="57">MAX(SUMIFS(INDEX(dobások,,2),INDEX(dobások,,1),CG20),IF(AND(többes_kaszt=iker_kaszt,váltás_kezdet=1,választott_kaszt_1=$L20),SUMIFS(INDEX(kasztok,,52),INDEX(kasztok,,1),választott_kaszt_2),0))</f>
        <v>14</v>
      </c>
      <c r="BL20" s="31">
        <f t="shared" si="10"/>
        <v>0</v>
      </c>
      <c r="BM20" s="200">
        <f t="shared" ref="BM20:BM21" si="58">MAX(0,erő-(SUMIFS(INDEX(dobások,,4),INDEX(dobások,,1),BX20)+SUMIFS(INDEX(fajok,,3),INDEX(fajok,,1),választott_faj)))+MAX(0,gyorsaság-(SUMIFS(INDEX(dobások,,4),INDEX(dobások,,1),BY20)+SUMIFS(INDEX(fajok,,4),INDEX(fajok,,1),választott_faj)))+MAX(0,ügyesség-(SUMIFS(INDEX(dobások,,4),INDEX(dobások,,1),BZ20)+SUMIFS(INDEX(fajok,,5),INDEX(fajok,,1),választott_faj)))+MAX(0,állóképesség-(SUMIFS(INDEX(dobások,,4),INDEX(dobások,,1),CA20)+SUMIFS(INDEX(fajok,,6),INDEX(fajok,,1),választott_faj)))+MAX(0,egészség-(SUMIFS(INDEX(dobások,,4),INDEX(dobások,,1),CB20)+SUMIFS(INDEX(fajok,,7),INDEX(fajok,,1),választott_faj)))+MAX(0,szépség-(SUMIFS(INDEX(dobások,,4),INDEX(dobások,,1),CC20)+SUMIFS(INDEX(fajok,,8),INDEX(fajok,,1),választott_faj)))+MAX(0,intelligencia-(SUMIFS(INDEX(dobások,,4),INDEX(dobások,,1),CD20)+SUMIFS(INDEX(fajok,,9),INDEX(fajok,,1),választott_faj)))+MAX(0,akaraterő-SUMIFS(INDEX(dobások,,4),INDEX(dobások,,1),CE20))+MAX(0,asztrál-(SUMIFS(INDEX(dobások,,4),INDEX(dobások,,1),CF20)+SUMIFS(INDEX(fajok,,10),INDEX(fajok,,1),választott_faj)))+MAX(0,érzékelés-SUMIFS(INDEX(dobások,,4),INDEX(dobások,,1),CG20))</f>
        <v>0</v>
      </c>
      <c r="BN20" s="198"/>
      <c r="BO20" s="198" t="s">
        <v>262</v>
      </c>
      <c r="BP20" s="198"/>
      <c r="BQ20" s="198"/>
      <c r="BR20" s="198"/>
      <c r="BS20" s="198" t="s">
        <v>262</v>
      </c>
      <c r="BT20" s="198"/>
      <c r="BU20" s="198"/>
      <c r="BV20" s="198"/>
      <c r="BW20" s="199"/>
      <c r="BX20" s="198" t="s">
        <v>132</v>
      </c>
      <c r="BY20" s="198" t="s">
        <v>132</v>
      </c>
      <c r="BZ20" s="198" t="s">
        <v>132</v>
      </c>
      <c r="CA20" s="198" t="s">
        <v>131</v>
      </c>
      <c r="CB20" s="198" t="s">
        <v>131</v>
      </c>
      <c r="CC20" s="198" t="s">
        <v>134</v>
      </c>
      <c r="CD20" s="198" t="s">
        <v>133</v>
      </c>
      <c r="CE20" s="198" t="s">
        <v>131</v>
      </c>
      <c r="CF20" s="198" t="s">
        <v>132</v>
      </c>
      <c r="CG20" s="198" t="s">
        <v>132</v>
      </c>
      <c r="CH20" s="10">
        <v>3</v>
      </c>
      <c r="CI20" s="10">
        <v>10</v>
      </c>
      <c r="CJ20" s="148"/>
      <c r="CK20" s="63"/>
    </row>
    <row r="21" spans="1:89" ht="15.75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20" t="s">
        <v>1150</v>
      </c>
      <c r="M21" s="34">
        <v>0</v>
      </c>
      <c r="N21" s="34">
        <v>171</v>
      </c>
      <c r="O21" s="34">
        <v>351</v>
      </c>
      <c r="P21" s="34">
        <v>1001</v>
      </c>
      <c r="Q21" s="34">
        <v>2201</v>
      </c>
      <c r="R21" s="34">
        <v>4401</v>
      </c>
      <c r="S21" s="34">
        <v>7501</v>
      </c>
      <c r="T21" s="34">
        <v>15001</v>
      </c>
      <c r="U21" s="34">
        <v>30001</v>
      </c>
      <c r="V21" s="34">
        <v>55001</v>
      </c>
      <c r="W21" s="34">
        <v>75001</v>
      </c>
      <c r="X21" s="34">
        <v>95001</v>
      </c>
      <c r="Y21" s="34">
        <f>145001+MAX(0,SUMIFS(INDEX(választott_kasztok,,10),INDEX(választott_kasztok,,1),$L21)-13)*40000</f>
        <v>145001</v>
      </c>
      <c r="Z21" s="20">
        <v>10</v>
      </c>
      <c r="AA21" s="20">
        <v>20</v>
      </c>
      <c r="AB21" s="20">
        <v>75</v>
      </c>
      <c r="AC21" s="20">
        <v>10</v>
      </c>
      <c r="AD21" s="20">
        <f>MAX(9,SUMIFS(INDEX(választott_kasztok,,10),INDEX(választott_kasztok,,1),$L21)*9)</f>
        <v>9</v>
      </c>
      <c r="AE21" s="20">
        <f t="shared" si="47"/>
        <v>2</v>
      </c>
      <c r="AF21" s="20">
        <f t="shared" si="47"/>
        <v>2</v>
      </c>
      <c r="AG21" s="20">
        <f>IF(AND(többes_kaszt=iker_kaszt,váltás_kezdet=0,váltás_kezdet&lt;&gt;""),0,4)</f>
        <v>4</v>
      </c>
      <c r="AH21" s="20">
        <f>MAX(0,IF(választott_kaszt_1=$L21,IF(váltás_kezdet="",VLOOKUP($L21,választott_kasztok,10,FALSE)*6,MIN(VLOOKUP($L21,választott_kasztok,10,FALSE),váltás_kezdet)*6+IF(többes_kaszt=iker_kaszt,MAX(0,VLOOKUP($L21,választott_kasztok,10,FALSE)-váltás_kezdet),0)+IF(többes_kaszt=váltott_kaszt,MAX(0,váltás_kezdet-VLOOKUP($L21,választott_kasztok,10,FALSE))*6)),0)+IF(választott_kaszt_2=$L21,VLOOKUP($L21,választott_kasztok,10,FALSE)*IF(többes_kaszt=iker_kaszt,1,6),0))</f>
        <v>0</v>
      </c>
      <c r="AI21" s="20">
        <f>MAX(45,IF(AND(többes_kaszt=váltott_kaszt,választott_kaszt_1=$L21),váltás_kezdet*45,SUMIFS(INDEX(választott_kasztok,,10),INDEX(választott_kasztok,,1),$L21)*45))</f>
        <v>45</v>
      </c>
      <c r="AJ21" s="20">
        <v>5</v>
      </c>
      <c r="AK21" s="20">
        <v>6</v>
      </c>
      <c r="AL21" s="20">
        <f>MAX(1,SUMIFS(INDEX(választott_kasztok,,10),INDEX(választott_kasztok,,1),$L21))*(k6dobás+3)</f>
        <v>9</v>
      </c>
      <c r="AM21" s="20">
        <f>MAX(MAX(0,intelligencia-10),SUMIFS(INDEX(választott_kasztok,,10),INDEX(választott_kasztok,,1),$L21)*MAX(0,intelligencia-10))</f>
        <v>0</v>
      </c>
      <c r="AN21" s="20" t="s">
        <v>1183</v>
      </c>
      <c r="AO21" s="209" t="str">
        <f>IF(tanultMfkaszt=0,"00",IF(INDEX(választott_kasztok,tanultMfkaszt,1)=$L21,TEXT(tanultMfTSZ,"00"),"00"))&amp;"0101"</f>
        <v>000101</v>
      </c>
      <c r="AP21" s="34">
        <v>0</v>
      </c>
      <c r="AQ21" s="56">
        <v>25</v>
      </c>
      <c r="AR21" s="56"/>
      <c r="AS21" s="56"/>
      <c r="AT21" s="56">
        <v>5</v>
      </c>
      <c r="AU21" s="56">
        <v>5</v>
      </c>
      <c r="AV21" s="56"/>
      <c r="AW21" s="56"/>
      <c r="AX21" s="56">
        <f>IF(SUMIFS(INDEX(választott_kasztok,,10),INDEX(választott_kasztok,,1),$L21)&gt;=5,15,0)</f>
        <v>0</v>
      </c>
      <c r="AY21" s="56"/>
      <c r="AZ21" s="56">
        <v>5</v>
      </c>
      <c r="BA21" s="117">
        <f>145001+MAX(0,váltás_kezdet-13)*40000</f>
        <v>145001</v>
      </c>
      <c r="BB21" s="31">
        <f t="shared" si="48"/>
        <v>14</v>
      </c>
      <c r="BC21" s="31">
        <f t="shared" si="49"/>
        <v>14</v>
      </c>
      <c r="BD21" s="31">
        <f t="shared" si="50"/>
        <v>14</v>
      </c>
      <c r="BE21" s="31">
        <f t="shared" si="51"/>
        <v>13</v>
      </c>
      <c r="BF21" s="31">
        <f t="shared" si="52"/>
        <v>13</v>
      </c>
      <c r="BG21" s="31">
        <f t="shared" si="53"/>
        <v>16</v>
      </c>
      <c r="BH21" s="31">
        <f t="shared" si="54"/>
        <v>15</v>
      </c>
      <c r="BI21" s="31">
        <f t="shared" si="55"/>
        <v>13</v>
      </c>
      <c r="BJ21" s="31">
        <f t="shared" si="56"/>
        <v>14</v>
      </c>
      <c r="BK21" s="31">
        <f t="shared" si="57"/>
        <v>14</v>
      </c>
      <c r="BL21" s="31">
        <f t="shared" si="10"/>
        <v>0</v>
      </c>
      <c r="BM21" s="200">
        <f t="shared" si="58"/>
        <v>0</v>
      </c>
      <c r="BN21" s="198"/>
      <c r="BO21" s="198" t="s">
        <v>262</v>
      </c>
      <c r="BP21" s="198"/>
      <c r="BQ21" s="198"/>
      <c r="BR21" s="198"/>
      <c r="BS21" s="198" t="s">
        <v>262</v>
      </c>
      <c r="BT21" s="198"/>
      <c r="BU21" s="198"/>
      <c r="BV21" s="198"/>
      <c r="BW21" s="199"/>
      <c r="BX21" s="198" t="s">
        <v>132</v>
      </c>
      <c r="BY21" s="198" t="s">
        <v>132</v>
      </c>
      <c r="BZ21" s="198" t="s">
        <v>132</v>
      </c>
      <c r="CA21" s="198" t="s">
        <v>131</v>
      </c>
      <c r="CB21" s="198" t="s">
        <v>131</v>
      </c>
      <c r="CC21" s="198" t="s">
        <v>134</v>
      </c>
      <c r="CD21" s="198" t="s">
        <v>133</v>
      </c>
      <c r="CE21" s="198" t="s">
        <v>131</v>
      </c>
      <c r="CF21" s="198" t="s">
        <v>132</v>
      </c>
      <c r="CG21" s="198" t="s">
        <v>132</v>
      </c>
      <c r="CH21" s="10">
        <v>3</v>
      </c>
      <c r="CI21" s="10">
        <v>10</v>
      </c>
      <c r="CJ21" s="148"/>
      <c r="CK21" s="63"/>
    </row>
    <row r="22" spans="1:89" ht="15.75">
      <c r="A22" s="625" t="s">
        <v>122</v>
      </c>
      <c r="B22" s="626"/>
      <c r="C22" s="626" t="s">
        <v>123</v>
      </c>
      <c r="D22" s="626"/>
      <c r="E22" s="626"/>
      <c r="F22" s="626"/>
      <c r="G22" s="626"/>
      <c r="H22" s="626"/>
      <c r="I22" s="626"/>
      <c r="J22" s="626"/>
      <c r="K22" s="627"/>
      <c r="L22" s="10" t="s">
        <v>356</v>
      </c>
      <c r="M22" s="33">
        <v>0</v>
      </c>
      <c r="N22" s="33">
        <v>201</v>
      </c>
      <c r="O22" s="33">
        <v>401</v>
      </c>
      <c r="P22" s="33">
        <v>801</v>
      </c>
      <c r="Q22" s="33">
        <v>1601</v>
      </c>
      <c r="R22" s="33">
        <v>4001</v>
      </c>
      <c r="S22" s="33">
        <v>8001</v>
      </c>
      <c r="T22" s="33">
        <v>16001</v>
      </c>
      <c r="U22" s="33">
        <v>32001</v>
      </c>
      <c r="V22" s="33">
        <v>59001</v>
      </c>
      <c r="W22" s="33">
        <v>90501</v>
      </c>
      <c r="X22" s="33">
        <v>140001</v>
      </c>
      <c r="Y22" s="34">
        <f>190001+MAX(0,SUMIFS(INDEX(választott_kasztok,,10),INDEX(választott_kasztok,,1),$L22)-13)*55000</f>
        <v>190001</v>
      </c>
      <c r="Z22" s="10">
        <v>5</v>
      </c>
      <c r="AA22" s="10">
        <v>15</v>
      </c>
      <c r="AB22" s="10">
        <v>75</v>
      </c>
      <c r="AC22" s="10">
        <v>0</v>
      </c>
      <c r="AD22" s="10">
        <f>MAX(8,SUMIFS(INDEX(választott_kasztok,,10),INDEX(választott_kasztok,,1),$L22)*8)</f>
        <v>8</v>
      </c>
      <c r="AE22" s="10">
        <f>MAX(2,SUMIFS(INDEX(választott_kasztok,,10),INDEX(választott_kasztok,,1),$L22)*2)</f>
        <v>2</v>
      </c>
      <c r="AF22" s="10">
        <f>MAX(4,SUMIFS(INDEX(választott_kasztok,,10),INDEX(választott_kasztok,,1),$L22)*4)</f>
        <v>4</v>
      </c>
      <c r="AG22" s="20">
        <f>IF(AND(többes_kaszt=iker_kaszt,váltás_kezdet=0,váltás_kezdet&lt;&gt;""),0,5)</f>
        <v>5</v>
      </c>
      <c r="AH22" s="10">
        <f>MAX(0,IF(választott_kaszt_1=$L22,IF(váltás_kezdet="",VLOOKUP($L22,választott_kasztok,10,FALSE)*8,MIN(VLOOKUP($L22,választott_kasztok,10,FALSE),váltás_kezdet)*8+IF(többes_kaszt=iker_kaszt,MAX(0,VLOOKUP($L22,választott_kasztok,10,FALSE)-váltás_kezdet),0)+IF(többes_kaszt=váltott_kaszt,MAX(0,váltás_kezdet-VLOOKUP($L22,választott_kasztok,10,FALSE))*8)),0)+IF(választott_kaszt_2=$L22,VLOOKUP($L22,választott_kasztok,10,FALSE)*IF(többes_kaszt=iker_kaszt,1,8),0))</f>
        <v>0</v>
      </c>
      <c r="AI22" s="20">
        <v>0</v>
      </c>
      <c r="AJ22" s="20">
        <v>4</v>
      </c>
      <c r="AK22" s="20">
        <v>8</v>
      </c>
      <c r="AL22" s="10">
        <f>MAX(1,SUMIFS(INDEX(választott_kasztok,,10),INDEX(választott_kasztok,,1),$L22))*(k6dobás+5)</f>
        <v>11</v>
      </c>
      <c r="AM22" s="10">
        <f>MAX(9,MIN(1,SUMIFS(INDEX(választott_kasztok,,10),INDEX(választott_kasztok,,1),$L22))*9+MAX(0,SUMIFS(INDEX(választott_kasztok,,10),INDEX(választott_kasztok,,1),$L22)-1)*(6+ROUNDUP(k6dobás/2,0)))</f>
        <v>9</v>
      </c>
      <c r="AN22" s="20" t="s">
        <v>1183</v>
      </c>
      <c r="AO22" s="209"/>
      <c r="AP22" s="33">
        <v>0</v>
      </c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117">
        <f>190001+MAX(0,váltás_kezdet-13)*55000</f>
        <v>190001</v>
      </c>
      <c r="BB22" s="17">
        <f t="shared" si="0"/>
        <v>13</v>
      </c>
      <c r="BC22" s="17">
        <f t="shared" si="1"/>
        <v>13</v>
      </c>
      <c r="BD22" s="17">
        <f t="shared" si="2"/>
        <v>13</v>
      </c>
      <c r="BE22" s="17">
        <f t="shared" si="3"/>
        <v>16</v>
      </c>
      <c r="BF22" s="17">
        <f t="shared" si="4"/>
        <v>11</v>
      </c>
      <c r="BG22" s="17">
        <f t="shared" si="5"/>
        <v>11</v>
      </c>
      <c r="BH22" s="17">
        <f t="shared" si="6"/>
        <v>13</v>
      </c>
      <c r="BI22" s="17">
        <f t="shared" si="7"/>
        <v>16</v>
      </c>
      <c r="BJ22" s="17">
        <f t="shared" si="8"/>
        <v>16</v>
      </c>
      <c r="BK22" s="17">
        <f t="shared" si="9"/>
        <v>14</v>
      </c>
      <c r="BL22" s="17">
        <f>MAX(0,SUM(tulajdonságok)-SUM($BB22:$BK22))</f>
        <v>0</v>
      </c>
      <c r="BM22" s="13">
        <f t="shared" si="11"/>
        <v>0</v>
      </c>
      <c r="BN22" s="12"/>
      <c r="BO22" s="12"/>
      <c r="BP22" s="12"/>
      <c r="BQ22" s="12"/>
      <c r="BR22" s="12"/>
      <c r="BS22" s="12"/>
      <c r="BT22" s="12"/>
      <c r="BU22" s="12" t="s">
        <v>262</v>
      </c>
      <c r="BV22" s="12" t="s">
        <v>262</v>
      </c>
      <c r="BW22" s="51"/>
      <c r="BX22" s="12" t="s">
        <v>131</v>
      </c>
      <c r="BY22" s="12" t="s">
        <v>131</v>
      </c>
      <c r="BZ22" s="12" t="s">
        <v>131</v>
      </c>
      <c r="CA22" s="12" t="s">
        <v>134</v>
      </c>
      <c r="CB22" s="12" t="s">
        <v>129</v>
      </c>
      <c r="CC22" s="12" t="s">
        <v>129</v>
      </c>
      <c r="CD22" s="12" t="s">
        <v>131</v>
      </c>
      <c r="CE22" s="12" t="s">
        <v>134</v>
      </c>
      <c r="CF22" s="12" t="s">
        <v>134</v>
      </c>
      <c r="CG22" s="12" t="s">
        <v>132</v>
      </c>
      <c r="CH22" s="10">
        <v>3</v>
      </c>
      <c r="CI22" s="10">
        <v>6</v>
      </c>
      <c r="CJ22" s="148"/>
      <c r="CK22" s="63"/>
    </row>
    <row r="23" spans="1:89" ht="15.75">
      <c r="A23" s="54" t="s">
        <v>342</v>
      </c>
      <c r="B23" s="45" t="s">
        <v>802</v>
      </c>
      <c r="C23" s="186" t="s">
        <v>112</v>
      </c>
      <c r="D23" s="186" t="s">
        <v>113</v>
      </c>
      <c r="E23" s="186" t="s">
        <v>114</v>
      </c>
      <c r="F23" s="186" t="s">
        <v>115</v>
      </c>
      <c r="G23" s="186" t="s">
        <v>116</v>
      </c>
      <c r="H23" s="186" t="s">
        <v>117</v>
      </c>
      <c r="I23" s="186" t="s">
        <v>118</v>
      </c>
      <c r="J23" s="186" t="s">
        <v>120</v>
      </c>
      <c r="K23" s="47" t="s">
        <v>119</v>
      </c>
      <c r="L23" s="261" t="s">
        <v>286</v>
      </c>
      <c r="M23" s="33">
        <v>0</v>
      </c>
      <c r="N23" s="33">
        <v>161</v>
      </c>
      <c r="O23" s="33">
        <v>321</v>
      </c>
      <c r="P23" s="33">
        <v>641</v>
      </c>
      <c r="Q23" s="33">
        <v>1441</v>
      </c>
      <c r="R23" s="34">
        <v>2801</v>
      </c>
      <c r="S23" s="33">
        <v>5601</v>
      </c>
      <c r="T23" s="33">
        <v>10001</v>
      </c>
      <c r="U23" s="33">
        <v>20001</v>
      </c>
      <c r="V23" s="33">
        <v>40001</v>
      </c>
      <c r="W23" s="33">
        <v>60001</v>
      </c>
      <c r="X23" s="33">
        <v>80001</v>
      </c>
      <c r="Y23" s="34">
        <f>112001+MAX(0,SUMIFS(INDEX(választott_kasztok,,10),INDEX(választott_kasztok,,1),$L23)-13)*31200</f>
        <v>112001</v>
      </c>
      <c r="Z23" s="10">
        <v>9</v>
      </c>
      <c r="AA23" s="10">
        <v>20</v>
      </c>
      <c r="AB23" s="10">
        <v>75</v>
      </c>
      <c r="AC23" s="10">
        <v>0</v>
      </c>
      <c r="AD23" s="10">
        <f>MAX(11,SUMIFS(INDEX(választott_kasztok,,10),INDEX(választott_kasztok,,1),$L23)*11)</f>
        <v>11</v>
      </c>
      <c r="AE23" s="10">
        <f>MAX(3,SUMIFS(INDEX(választott_kasztok,,10),INDEX(választott_kasztok,,1),$L23)*3)</f>
        <v>3</v>
      </c>
      <c r="AF23" s="10">
        <f>MAX(3,SUMIFS(INDEX(választott_kasztok,,10),INDEX(választott_kasztok,,1),$L23)*3)</f>
        <v>3</v>
      </c>
      <c r="AG23" s="20">
        <f>IF(AND(többes_kaszt=iker_kaszt,váltás_kezdet=0,váltás_kezdet&lt;&gt;""),0,10)</f>
        <v>10</v>
      </c>
      <c r="AH23" s="10">
        <f>MAX(0,IF(választott_kaszt_1=$L23,IF(váltás_kezdet="",VLOOKUP($L23,választott_kasztok,10,FALSE)*14,MIN(VLOOKUP($L23,választott_kasztok,10,FALSE),váltás_kezdet)*14+IF(többes_kaszt=iker_kaszt,MAX(0,VLOOKUP($L23,választott_kasztok,10,FALSE)-váltás_kezdet),0)+IF(többes_kaszt=váltott_kaszt,MAX(0,váltás_kezdet-VLOOKUP($L23,választott_kasztok,10,FALSE))*14)),0)+IF(választott_kaszt_2=$L23,VLOOKUP($L23,választott_kasztok,10,FALSE)*IF(többes_kaszt=iker_kaszt,1,14),0))</f>
        <v>0</v>
      </c>
      <c r="AI23" s="10">
        <v>0</v>
      </c>
      <c r="AJ23" s="10">
        <v>7</v>
      </c>
      <c r="AK23" s="10">
        <v>6</v>
      </c>
      <c r="AL23" s="10">
        <f>MAX(1,SUMIFS(INDEX(választott_kasztok,,10),INDEX(választott_kasztok,,1),$L23))*(k6dobás+4)</f>
        <v>10</v>
      </c>
      <c r="AM23" s="10"/>
      <c r="AN23" s="20" t="str">
        <f>IF(OR(tanultAfTSZ&gt;0,tanultMfTSZ&gt;0),pyarroni,nincsen)</f>
        <v>nincs</v>
      </c>
      <c r="AO23" s="208" t="str">
        <f>IF(tanultMfkaszt=0,"00",IF(INDEX(választott_kasztok,tanultMfkaszt,1)=$L23,TEXT(tanultMfTSZ,"00"),"00"))&amp;IF(tanultAfkaszt=0,"00",IF(INDEX(választott_kasztok,tanultAfkaszt,1)=$L23,TEXT(tanultAfTSZ,"00"),"00"))&amp;"01"</f>
        <v>000001</v>
      </c>
      <c r="AP23" s="33">
        <v>0</v>
      </c>
      <c r="AQ23" s="56">
        <v>15</v>
      </c>
      <c r="AR23" s="56">
        <v>20</v>
      </c>
      <c r="AS23" s="56">
        <v>10</v>
      </c>
      <c r="AT23" s="56"/>
      <c r="AU23" s="56"/>
      <c r="AV23" s="56"/>
      <c r="AW23" s="56"/>
      <c r="AX23" s="56"/>
      <c r="AY23" s="56"/>
      <c r="AZ23" s="56"/>
      <c r="BA23" s="117">
        <f>112001+MAX(0,váltás_kezdet-13)*31200</f>
        <v>112001</v>
      </c>
      <c r="BB23" s="17">
        <f t="shared" si="0"/>
        <v>16</v>
      </c>
      <c r="BC23" s="17">
        <f t="shared" si="1"/>
        <v>13</v>
      </c>
      <c r="BD23" s="17">
        <f t="shared" si="2"/>
        <v>13</v>
      </c>
      <c r="BE23" s="17">
        <f t="shared" si="3"/>
        <v>14</v>
      </c>
      <c r="BF23" s="116">
        <f t="shared" si="4"/>
        <v>16</v>
      </c>
      <c r="BG23" s="17">
        <f t="shared" si="5"/>
        <v>11</v>
      </c>
      <c r="BH23" s="17">
        <f t="shared" si="6"/>
        <v>11</v>
      </c>
      <c r="BI23" s="17">
        <f t="shared" si="7"/>
        <v>13</v>
      </c>
      <c r="BJ23" s="17">
        <f t="shared" si="8"/>
        <v>11</v>
      </c>
      <c r="BK23" s="17">
        <f t="shared" si="9"/>
        <v>13</v>
      </c>
      <c r="BL23" s="17">
        <f t="shared" si="10"/>
        <v>0</v>
      </c>
      <c r="BM23" s="13">
        <f t="shared" si="11"/>
        <v>0</v>
      </c>
      <c r="BN23" s="12" t="s">
        <v>262</v>
      </c>
      <c r="BO23" s="12" t="s">
        <v>262</v>
      </c>
      <c r="BP23" s="12" t="s">
        <v>262</v>
      </c>
      <c r="BQ23" s="12" t="s">
        <v>262</v>
      </c>
      <c r="BR23" s="12"/>
      <c r="BS23" s="12"/>
      <c r="BT23" s="12"/>
      <c r="BU23" s="12"/>
      <c r="BV23" s="12"/>
      <c r="BW23" s="51"/>
      <c r="BX23" s="12" t="s">
        <v>134</v>
      </c>
      <c r="BY23" s="12" t="s">
        <v>131</v>
      </c>
      <c r="BZ23" s="12" t="s">
        <v>131</v>
      </c>
      <c r="CA23" s="12" t="s">
        <v>132</v>
      </c>
      <c r="CB23" s="12" t="s">
        <v>135</v>
      </c>
      <c r="CC23" s="12" t="s">
        <v>129</v>
      </c>
      <c r="CD23" s="12" t="s">
        <v>129</v>
      </c>
      <c r="CE23" s="12" t="s">
        <v>131</v>
      </c>
      <c r="CF23" s="12" t="s">
        <v>129</v>
      </c>
      <c r="CG23" s="12" t="s">
        <v>131</v>
      </c>
      <c r="CH23" s="10">
        <v>3</v>
      </c>
      <c r="CI23" s="10">
        <v>18</v>
      </c>
      <c r="CJ23" s="148"/>
      <c r="CK23" s="63"/>
    </row>
    <row r="24" spans="1:89">
      <c r="A24" s="15" t="s">
        <v>689</v>
      </c>
      <c r="B24" s="52"/>
      <c r="C24" s="14">
        <v>1</v>
      </c>
      <c r="D24" s="14"/>
      <c r="E24" s="14"/>
      <c r="F24" s="14">
        <v>1</v>
      </c>
      <c r="G24" s="14"/>
      <c r="H24" s="14">
        <v>3</v>
      </c>
      <c r="I24" s="14"/>
      <c r="J24" s="14">
        <v>-1</v>
      </c>
      <c r="K24" s="16"/>
      <c r="L24" s="10" t="s">
        <v>42</v>
      </c>
      <c r="M24" s="33">
        <v>0</v>
      </c>
      <c r="N24" s="33">
        <v>151</v>
      </c>
      <c r="O24" s="33">
        <v>301</v>
      </c>
      <c r="P24" s="33">
        <v>601</v>
      </c>
      <c r="Q24" s="33">
        <v>1001</v>
      </c>
      <c r="R24" s="33">
        <v>2001</v>
      </c>
      <c r="S24" s="33">
        <v>4001</v>
      </c>
      <c r="T24" s="33">
        <v>9001</v>
      </c>
      <c r="U24" s="33">
        <v>17001</v>
      </c>
      <c r="V24" s="33">
        <v>38501</v>
      </c>
      <c r="W24" s="33">
        <v>58501</v>
      </c>
      <c r="X24" s="33">
        <v>78501</v>
      </c>
      <c r="Y24" s="34">
        <f>108501+MAX(0,SUMIFS(INDEX(választott_kasztok,,10),INDEX(választott_kasztok,,1),$L24)-13)*31500</f>
        <v>108501</v>
      </c>
      <c r="Z24" s="20">
        <v>7</v>
      </c>
      <c r="AA24" s="20">
        <v>17</v>
      </c>
      <c r="AB24" s="20">
        <v>72</v>
      </c>
      <c r="AC24" s="20">
        <v>0</v>
      </c>
      <c r="AD24" s="10">
        <f>MAX(4,SUMIFS(INDEX(választott_kasztok,,10),INDEX(választott_kasztok,,1),$L24)*4)</f>
        <v>4</v>
      </c>
      <c r="AE24" s="10">
        <f t="shared" ref="AE24:AF26" si="59">MAX(1,SUMIFS(INDEX(választott_kasztok,,10),INDEX(választott_kasztok,,1),$L24)*1)</f>
        <v>1</v>
      </c>
      <c r="AF24" s="10">
        <f t="shared" si="59"/>
        <v>1</v>
      </c>
      <c r="AG24" s="20">
        <f>IF(AND(többes_kaszt=iker_kaszt,váltás_kezdet=0,váltás_kezdet&lt;&gt;""),0,8)</f>
        <v>8</v>
      </c>
      <c r="AH24" s="10">
        <f>MAX(0,IF(választott_kaszt_1=$L24,IF(váltás_kezdet="",VLOOKUP($L24,választott_kasztok,10,FALSE)*12,MIN(VLOOKUP($L24,választott_kasztok,10,FALSE),váltás_kezdet)*12+IF(többes_kaszt=iker_kaszt,MAX(0,VLOOKUP($L24,választott_kasztok,10,FALSE)-váltás_kezdet),0)+IF(többes_kaszt=váltott_kaszt,MAX(0,váltás_kezdet-VLOOKUP($L24,választott_kasztok,10,FALSE))*12)),0)+IF(választott_kaszt_2=$L24,VLOOKUP($L24,választott_kasztok,10,FALSE)*IF(többes_kaszt=iker_kaszt,1,12),0))</f>
        <v>0</v>
      </c>
      <c r="AI24" s="20">
        <v>0</v>
      </c>
      <c r="AJ24" s="20">
        <v>3</v>
      </c>
      <c r="AK24" s="20">
        <v>1</v>
      </c>
      <c r="AL24" s="10">
        <f>MAX(1,SUMIFS(INDEX(választott_kasztok,,10),INDEX(választott_kasztok,,1),$L24))*(k6dobás+0)</f>
        <v>6</v>
      </c>
      <c r="AM24" s="10">
        <f>MAX(8,SUMIFS(INDEX(választott_kasztok,,10),INDEX(választott_kasztok,,1),$L24)*8)</f>
        <v>8</v>
      </c>
      <c r="AN24" s="20" t="s">
        <v>1183</v>
      </c>
      <c r="AO24" s="209"/>
      <c r="AP24" s="33">
        <v>0</v>
      </c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117">
        <f>108501+MAX(0,váltás_kezdet-13)*31500</f>
        <v>108501</v>
      </c>
      <c r="BB24" s="17">
        <f t="shared" si="0"/>
        <v>10</v>
      </c>
      <c r="BC24" s="17">
        <f t="shared" si="1"/>
        <v>13</v>
      </c>
      <c r="BD24" s="17">
        <f t="shared" si="2"/>
        <v>14</v>
      </c>
      <c r="BE24" s="17">
        <f t="shared" si="3"/>
        <v>10</v>
      </c>
      <c r="BF24" s="17">
        <f t="shared" si="4"/>
        <v>13</v>
      </c>
      <c r="BG24" s="116">
        <f t="shared" si="5"/>
        <v>18</v>
      </c>
      <c r="BH24" s="17">
        <f t="shared" si="6"/>
        <v>13</v>
      </c>
      <c r="BI24" s="17">
        <f t="shared" si="7"/>
        <v>13</v>
      </c>
      <c r="BJ24" s="17">
        <f t="shared" si="8"/>
        <v>16</v>
      </c>
      <c r="BK24" s="17">
        <f t="shared" si="9"/>
        <v>13</v>
      </c>
      <c r="BL24" s="17">
        <f t="shared" si="10"/>
        <v>0</v>
      </c>
      <c r="BM24" s="13">
        <f t="shared" si="11"/>
        <v>0</v>
      </c>
      <c r="BN24" s="12"/>
      <c r="BO24" s="12"/>
      <c r="BP24" s="12"/>
      <c r="BQ24" s="12"/>
      <c r="BR24" s="12"/>
      <c r="BS24" s="12"/>
      <c r="BT24" s="12"/>
      <c r="BU24" s="12"/>
      <c r="BV24" s="12" t="s">
        <v>262</v>
      </c>
      <c r="BW24" s="51"/>
      <c r="BX24" s="12" t="s">
        <v>128</v>
      </c>
      <c r="BY24" s="12" t="s">
        <v>131</v>
      </c>
      <c r="BZ24" s="12" t="s">
        <v>132</v>
      </c>
      <c r="CA24" s="12" t="s">
        <v>128</v>
      </c>
      <c r="CB24" s="12" t="s">
        <v>131</v>
      </c>
      <c r="CC24" s="12" t="s">
        <v>136</v>
      </c>
      <c r="CD24" s="12" t="s">
        <v>131</v>
      </c>
      <c r="CE24" s="12" t="s">
        <v>131</v>
      </c>
      <c r="CF24" s="12" t="s">
        <v>134</v>
      </c>
      <c r="CG24" s="12" t="s">
        <v>131</v>
      </c>
      <c r="CH24" s="20">
        <v>1</v>
      </c>
      <c r="CI24" s="10">
        <v>12</v>
      </c>
      <c r="CJ24" s="148"/>
      <c r="CK24" s="63"/>
    </row>
    <row r="25" spans="1:89">
      <c r="A25" s="15" t="s">
        <v>690</v>
      </c>
      <c r="B25" s="52"/>
      <c r="C25" s="14">
        <v>1</v>
      </c>
      <c r="D25" s="14"/>
      <c r="E25" s="14"/>
      <c r="F25" s="14">
        <v>1</v>
      </c>
      <c r="G25" s="14"/>
      <c r="H25" s="14">
        <v>3</v>
      </c>
      <c r="I25" s="14"/>
      <c r="J25" s="14">
        <v>-1</v>
      </c>
      <c r="K25" s="16"/>
      <c r="L25" s="10" t="s">
        <v>43</v>
      </c>
      <c r="M25" s="33">
        <v>0</v>
      </c>
      <c r="N25" s="33">
        <v>201</v>
      </c>
      <c r="O25" s="33">
        <v>401</v>
      </c>
      <c r="P25" s="33">
        <v>801</v>
      </c>
      <c r="Q25" s="33">
        <v>1601</v>
      </c>
      <c r="R25" s="33">
        <v>4001</v>
      </c>
      <c r="S25" s="33">
        <v>8001</v>
      </c>
      <c r="T25" s="33">
        <v>16001</v>
      </c>
      <c r="U25" s="33">
        <v>32001</v>
      </c>
      <c r="V25" s="33">
        <v>59001</v>
      </c>
      <c r="W25" s="33">
        <v>90501</v>
      </c>
      <c r="X25" s="33">
        <v>140001</v>
      </c>
      <c r="Y25" s="34">
        <f>190001+MAX(0,SUMIFS(INDEX(választott_kasztok,,10),INDEX(választott_kasztok,,1),$L25)-13)*55000</f>
        <v>190001</v>
      </c>
      <c r="Z25" s="37">
        <f>7+SUMIFS(INDEX(választott_kasztok,,10),INDEX(választott_kasztok,,1),$L25)</f>
        <v>7</v>
      </c>
      <c r="AA25" s="20">
        <v>17</v>
      </c>
      <c r="AB25" s="20">
        <v>72</v>
      </c>
      <c r="AC25" s="20">
        <v>5</v>
      </c>
      <c r="AD25" s="10">
        <f>MAX(7,SUMIFS(INDEX(választott_kasztok,,10),INDEX(választott_kasztok,,1),$L25)*7)</f>
        <v>7</v>
      </c>
      <c r="AE25" s="10">
        <f t="shared" si="59"/>
        <v>1</v>
      </c>
      <c r="AF25" s="10">
        <f t="shared" si="59"/>
        <v>1</v>
      </c>
      <c r="AG25" s="20">
        <f>IF(AND(többes_kaszt=iker_kaszt,váltás_kezdet=0,váltás_kezdet&lt;&gt;""),0,7)</f>
        <v>7</v>
      </c>
      <c r="AH25" s="10">
        <f>MAX(0,IF(választott_kaszt_1=$L25,IF(váltás_kezdet="",VLOOKUP($L25,választott_kasztok,10,FALSE)*8,MIN(VLOOKUP($L25,választott_kasztok,10,FALSE),váltás_kezdet)*8+IF(többes_kaszt=iker_kaszt,MAX(0,VLOOKUP($L25,választott_kasztok,10,FALSE)-váltás_kezdet),0)+IF(többes_kaszt=váltott_kaszt,MAX(0,váltás_kezdet-VLOOKUP($L25,választott_kasztok,10,FALSE))*8)),0)+IF(választott_kaszt_2=$L25,VLOOKUP($L25,választott_kasztok,10,FALSE)*IF(többes_kaszt=iker_kaszt,1,8),0))</f>
        <v>0</v>
      </c>
      <c r="AI25" s="10">
        <f>MAX(15,IF(AND(többes_kaszt=váltott_kaszt,választott_kaszt_1=$L25),váltás_kezdet*15,SUMIFS(INDEX(választott_kasztok,,10),INDEX(választott_kasztok,,1),$L25)*15))</f>
        <v>15</v>
      </c>
      <c r="AJ25" s="20">
        <v>3</v>
      </c>
      <c r="AK25" s="20">
        <v>4</v>
      </c>
      <c r="AL25" s="10">
        <f>MAX(1,SUMIFS(INDEX(választott_kasztok,,10),INDEX(választott_kasztok,,1),$L25))*(k6dobás+1)</f>
        <v>7</v>
      </c>
      <c r="AM25" s="10">
        <f>MAX(7,SUMIFS(INDEX(választott_kasztok,,10),INDEX(választott_kasztok,,1),$L25)*7)</f>
        <v>7</v>
      </c>
      <c r="AN25" s="20" t="s">
        <v>1183</v>
      </c>
      <c r="AO25" s="209"/>
      <c r="AP25" s="33">
        <v>0</v>
      </c>
      <c r="AQ25" s="56"/>
      <c r="AR25" s="56"/>
      <c r="AS25" s="56"/>
      <c r="AT25" s="56">
        <v>15</v>
      </c>
      <c r="AU25" s="56">
        <v>15</v>
      </c>
      <c r="AV25" s="56"/>
      <c r="AW25" s="56"/>
      <c r="AX25" s="56"/>
      <c r="AY25" s="56"/>
      <c r="AZ25" s="56"/>
      <c r="BA25" s="117">
        <f>190001+MAX(0,váltás_kezdet-13)*55000</f>
        <v>190001</v>
      </c>
      <c r="BB25" s="17">
        <f t="shared" si="0"/>
        <v>11</v>
      </c>
      <c r="BC25" s="17">
        <f t="shared" si="1"/>
        <v>14</v>
      </c>
      <c r="BD25" s="17">
        <f t="shared" si="2"/>
        <v>16</v>
      </c>
      <c r="BE25" s="17">
        <f t="shared" si="3"/>
        <v>11</v>
      </c>
      <c r="BF25" s="17">
        <f t="shared" si="4"/>
        <v>13</v>
      </c>
      <c r="BG25" s="17">
        <f t="shared" si="5"/>
        <v>10</v>
      </c>
      <c r="BH25" s="17">
        <f t="shared" si="6"/>
        <v>13</v>
      </c>
      <c r="BI25" s="17">
        <f t="shared" si="7"/>
        <v>13</v>
      </c>
      <c r="BJ25" s="17">
        <f t="shared" si="8"/>
        <v>16</v>
      </c>
      <c r="BK25" s="17">
        <f t="shared" si="9"/>
        <v>13</v>
      </c>
      <c r="BL25" s="17">
        <f t="shared" si="10"/>
        <v>0</v>
      </c>
      <c r="BM25" s="13">
        <f t="shared" si="11"/>
        <v>0</v>
      </c>
      <c r="BN25" s="12"/>
      <c r="BO25" s="12"/>
      <c r="BP25" s="12" t="s">
        <v>262</v>
      </c>
      <c r="BQ25" s="12"/>
      <c r="BR25" s="12"/>
      <c r="BS25" s="12"/>
      <c r="BT25" s="12"/>
      <c r="BU25" s="12"/>
      <c r="BV25" s="12"/>
      <c r="BW25" s="51"/>
      <c r="BX25" s="12" t="s">
        <v>129</v>
      </c>
      <c r="BY25" s="12" t="s">
        <v>132</v>
      </c>
      <c r="BZ25" s="12" t="s">
        <v>134</v>
      </c>
      <c r="CA25" s="12" t="s">
        <v>129</v>
      </c>
      <c r="CB25" s="12" t="s">
        <v>131</v>
      </c>
      <c r="CC25" s="12" t="s">
        <v>128</v>
      </c>
      <c r="CD25" s="12" t="s">
        <v>131</v>
      </c>
      <c r="CE25" s="12" t="s">
        <v>131</v>
      </c>
      <c r="CF25" s="12" t="s">
        <v>134</v>
      </c>
      <c r="CG25" s="12" t="s">
        <v>131</v>
      </c>
      <c r="CH25" s="20">
        <v>1</v>
      </c>
      <c r="CI25" s="10">
        <v>12</v>
      </c>
      <c r="CJ25" s="148"/>
      <c r="CK25" s="63"/>
    </row>
    <row r="26" spans="1:89">
      <c r="A26" s="15" t="s">
        <v>255</v>
      </c>
      <c r="B26" s="52"/>
      <c r="C26" s="14"/>
      <c r="D26" s="14"/>
      <c r="E26" s="14"/>
      <c r="F26" s="14"/>
      <c r="G26" s="14"/>
      <c r="H26" s="14"/>
      <c r="I26" s="14">
        <v>2</v>
      </c>
      <c r="J26" s="14"/>
      <c r="K26" s="16"/>
      <c r="L26" s="10" t="s">
        <v>1145</v>
      </c>
      <c r="M26" s="33">
        <v>0</v>
      </c>
      <c r="N26" s="33">
        <v>201</v>
      </c>
      <c r="O26" s="33">
        <v>401</v>
      </c>
      <c r="P26" s="33">
        <v>801</v>
      </c>
      <c r="Q26" s="33">
        <v>1601</v>
      </c>
      <c r="R26" s="33">
        <v>4001</v>
      </c>
      <c r="S26" s="33">
        <v>8001</v>
      </c>
      <c r="T26" s="33">
        <v>16001</v>
      </c>
      <c r="U26" s="33">
        <v>32001</v>
      </c>
      <c r="V26" s="33">
        <v>59001</v>
      </c>
      <c r="W26" s="33">
        <v>90501</v>
      </c>
      <c r="X26" s="33">
        <v>140001</v>
      </c>
      <c r="Y26" s="34">
        <f>190001+MAX(0,SUMIFS(INDEX(választott_kasztok,,10),INDEX(választott_kasztok,,1),$L26)-13)*55000</f>
        <v>190001</v>
      </c>
      <c r="Z26" s="20">
        <v>7</v>
      </c>
      <c r="AA26" s="20">
        <v>17</v>
      </c>
      <c r="AB26" s="20">
        <v>72</v>
      </c>
      <c r="AC26" s="20">
        <v>5</v>
      </c>
      <c r="AD26" s="10">
        <f>MAX(7,SUMIFS(INDEX(választott_kasztok,,10),INDEX(választott_kasztok,,1),$L26)*7)</f>
        <v>7</v>
      </c>
      <c r="AE26" s="10">
        <f t="shared" si="59"/>
        <v>1</v>
      </c>
      <c r="AF26" s="10">
        <f t="shared" si="59"/>
        <v>1</v>
      </c>
      <c r="AG26" s="20">
        <f>IF(AND(többes_kaszt=iker_kaszt,váltás_kezdet=0,váltás_kezdet&lt;&gt;""),0,6)</f>
        <v>6</v>
      </c>
      <c r="AH26" s="10">
        <f>MAX(0,IF(választott_kaszt_1=$L26,IF(váltás_kezdet="",VLOOKUP($L26,választott_kasztok,10,FALSE)*7,MIN(VLOOKUP($L26,választott_kasztok,10,FALSE),váltás_kezdet)*7+IF(többes_kaszt=iker_kaszt,MAX(0,VLOOKUP($L26,választott_kasztok,10,FALSE)-váltás_kezdet),0)+IF(többes_kaszt=váltott_kaszt,MAX(0,váltás_kezdet-VLOOKUP($L26,választott_kasztok,10,FALSE))*7)),0)+IF(választott_kaszt_2=$L26,VLOOKUP($L26,választott_kasztok,10,FALSE)*IF(többes_kaszt=iker_kaszt,1,7),0))</f>
        <v>0</v>
      </c>
      <c r="AI26" s="10">
        <f>MAX(10,IF(AND(többes_kaszt=váltott_kaszt,választott_kaszt_1=$L26),váltás_kezdet*10,SUMIFS(INDEX(választott_kasztok,,10),INDEX(választott_kasztok,,1),$L26)*10))</f>
        <v>10</v>
      </c>
      <c r="AJ26" s="20">
        <v>3</v>
      </c>
      <c r="AK26" s="20">
        <v>4</v>
      </c>
      <c r="AL26" s="10">
        <f>MAX(1,SUMIFS(INDEX(választott_kasztok,,10),INDEX(választott_kasztok,,1),$L26))*(k6dobás+1)</f>
        <v>7</v>
      </c>
      <c r="AM26" s="10">
        <f>MAX(7,SUMIFS(INDEX(választott_kasztok,,10),INDEX(választott_kasztok,,1),$L26)*7)</f>
        <v>7</v>
      </c>
      <c r="AN26" s="20" t="s">
        <v>1183</v>
      </c>
      <c r="AO26" s="209"/>
      <c r="AP26" s="33">
        <v>0</v>
      </c>
      <c r="AQ26" s="56"/>
      <c r="AR26" s="56"/>
      <c r="AS26" s="56"/>
      <c r="AT26" s="56">
        <v>10</v>
      </c>
      <c r="AU26" s="56">
        <v>10</v>
      </c>
      <c r="AV26" s="56"/>
      <c r="AW26" s="56"/>
      <c r="AX26" s="56"/>
      <c r="AY26" s="56"/>
      <c r="AZ26" s="56"/>
      <c r="BA26" s="117">
        <f>190001+MAX(0,váltás_kezdet-13)*55000</f>
        <v>190001</v>
      </c>
      <c r="BB26" s="17">
        <f t="shared" ref="BB26" si="60">MAX(SUMIFS(INDEX(dobások,,2),INDEX(dobások,,1),BX26)+SUMIFS(INDEX(fajok,,3),INDEX(fajok,,1),választott_faj),IF(AND(többes_kaszt=iker_kaszt,váltás_kezdet=1,választott_kaszt_1=$L26),SUMIFS(INDEX(kasztok,,43),INDEX(kasztok,,1),választott_kaszt_2),0))</f>
        <v>11</v>
      </c>
      <c r="BC26" s="17">
        <f t="shared" ref="BC26" si="61">MAX(SUMIFS(INDEX(dobások,,2),INDEX(dobások,,1),BY26)+SUMIFS(INDEX(fajok,,4),INDEX(fajok,,1),választott_faj),IF(AND(többes_kaszt=iker_kaszt,váltás_kezdet=1,választott_kaszt_1=$L26),SUMIFS(INDEX(kasztok,,44),INDEX(kasztok,,1),választott_kaszt_2),0))</f>
        <v>14</v>
      </c>
      <c r="BD26" s="17">
        <f t="shared" ref="BD26" si="62">MAX(SUMIFS(INDEX(dobások,,2),INDEX(dobások,,1),BZ26)+SUMIFS(INDEX(fajok,,5),INDEX(fajok,,1),választott_faj),IF(AND(többes_kaszt=iker_kaszt,váltás_kezdet=1,választott_kaszt_1=$L26),SUMIFS(INDEX(kasztok,,45),INDEX(kasztok,,1),választott_kaszt_2),0))</f>
        <v>16</v>
      </c>
      <c r="BE26" s="17">
        <f t="shared" ref="BE26" si="63">MAX(SUMIFS(INDEX(dobások,,2),INDEX(dobások,,1),CA26)+SUMIFS(INDEX(fajok,,6),INDEX(fajok,,1),választott_faj),IF(AND(többes_kaszt=iker_kaszt,váltás_kezdet=1,választott_kaszt_1=$L26),SUMIFS(INDEX(kasztok,,46),INDEX(kasztok,,1),választott_kaszt_2),0))</f>
        <v>11</v>
      </c>
      <c r="BF26" s="17">
        <f t="shared" ref="BF26" si="64">MAX(SUMIFS(INDEX(dobások,,2),INDEX(dobások,,1),CB26)+SUMIFS(INDEX(fajok,,7),INDEX(fajok,,1),választott_faj),IF(AND(többes_kaszt=iker_kaszt,váltás_kezdet=1,választott_kaszt_1=$L26),SUMIFS(INDEX(kasztok,,47),INDEX(kasztok,,1),választott_kaszt_2),0))</f>
        <v>13</v>
      </c>
      <c r="BG26" s="17">
        <f t="shared" ref="BG26" si="65">MAX(SUMIFS(INDEX(dobások,,2),INDEX(dobások,,1),CC26)+SUMIFS(INDEX(fajok,,8),INDEX(fajok,,1),választott_faj),IF(AND(többes_kaszt=iker_kaszt,váltás_kezdet=1,választott_kaszt_1=$L26),SUMIFS(INDEX(kasztok,,48),INDEX(kasztok,,1),választott_kaszt_2),0))</f>
        <v>10</v>
      </c>
      <c r="BH26" s="17">
        <f t="shared" ref="BH26" si="66">MAX(SUMIFS(INDEX(dobások,,2),INDEX(dobások,,1),CD26)+SUMIFS(INDEX(fajok,,9),INDEX(fajok,,1),választott_faj),IF(AND(többes_kaszt=iker_kaszt,váltás_kezdet=1,választott_kaszt_1=$L26),SUMIFS(INDEX(kasztok,,49),INDEX(kasztok,,1),választott_kaszt_2),0))</f>
        <v>13</v>
      </c>
      <c r="BI26" s="17">
        <f t="shared" ref="BI26" si="67">MAX(SUMIFS(INDEX(dobások,,2),INDEX(dobások,,1),CE26),IF(AND(többes_kaszt=iker_kaszt,váltás_kezdet=1,választott_kaszt_1=$L26),SUMIFS(INDEX(kasztok,,50),INDEX(kasztok,,1),választott_kaszt_2),0))</f>
        <v>13</v>
      </c>
      <c r="BJ26" s="17">
        <f t="shared" ref="BJ26" si="68">MAX(SUMIFS(INDEX(dobások,,2),INDEX(dobások,,1),CF26)+SUMIFS(INDEX(fajok,,10),INDEX(fajok,,1),választott_faj),IF(AND(többes_kaszt=iker_kaszt,váltás_kezdet=1,választott_kaszt_1=$L26),SUMIFS(INDEX(kasztok,,51),INDEX(kasztok,,1),választott_kaszt_2),0))</f>
        <v>16</v>
      </c>
      <c r="BK26" s="17">
        <f t="shared" ref="BK26" si="69">MAX(SUMIFS(INDEX(dobások,,2),INDEX(dobások,,1),CG26),IF(AND(többes_kaszt=iker_kaszt,váltás_kezdet=1,választott_kaszt_1=$L26),SUMIFS(INDEX(kasztok,,52),INDEX(kasztok,,1),választott_kaszt_2),0))</f>
        <v>13</v>
      </c>
      <c r="BL26" s="17">
        <f t="shared" si="10"/>
        <v>0</v>
      </c>
      <c r="BM26" s="13">
        <f t="shared" ref="BM26" si="70">MAX(0,erő-(SUMIFS(INDEX(dobások,,4),INDEX(dobások,,1),BX26)+SUMIFS(INDEX(fajok,,3),INDEX(fajok,,1),választott_faj)))+MAX(0,gyorsaság-(SUMIFS(INDEX(dobások,,4),INDEX(dobások,,1),BY26)+SUMIFS(INDEX(fajok,,4),INDEX(fajok,,1),választott_faj)))+MAX(0,ügyesség-(SUMIFS(INDEX(dobások,,4),INDEX(dobások,,1),BZ26)+SUMIFS(INDEX(fajok,,5),INDEX(fajok,,1),választott_faj)))+MAX(0,állóképesség-(SUMIFS(INDEX(dobások,,4),INDEX(dobások,,1),CA26)+SUMIFS(INDEX(fajok,,6),INDEX(fajok,,1),választott_faj)))+MAX(0,egészség-(SUMIFS(INDEX(dobások,,4),INDEX(dobások,,1),CB26)+SUMIFS(INDEX(fajok,,7),INDEX(fajok,,1),választott_faj)))+MAX(0,szépség-(SUMIFS(INDEX(dobások,,4),INDEX(dobások,,1),CC26)+SUMIFS(INDEX(fajok,,8),INDEX(fajok,,1),választott_faj)))+MAX(0,intelligencia-(SUMIFS(INDEX(dobások,,4),INDEX(dobások,,1),CD26)+SUMIFS(INDEX(fajok,,9),INDEX(fajok,,1),választott_faj)))+MAX(0,akaraterő-SUMIFS(INDEX(dobások,,4),INDEX(dobások,,1),CE26))+MAX(0,asztrál-(SUMIFS(INDEX(dobások,,4),INDEX(dobások,,1),CF26)+SUMIFS(INDEX(fajok,,10),INDEX(fajok,,1),választott_faj)))+MAX(0,érzékelés-SUMIFS(INDEX(dobások,,4),INDEX(dobások,,1),CG26))</f>
        <v>0</v>
      </c>
      <c r="BN26" s="12"/>
      <c r="BO26" s="12"/>
      <c r="BP26" s="12" t="s">
        <v>262</v>
      </c>
      <c r="BQ26" s="12"/>
      <c r="BR26" s="12"/>
      <c r="BS26" s="12"/>
      <c r="BT26" s="12"/>
      <c r="BU26" s="12"/>
      <c r="BV26" s="12"/>
      <c r="BW26" s="51"/>
      <c r="BX26" s="12" t="s">
        <v>129</v>
      </c>
      <c r="BY26" s="12" t="s">
        <v>132</v>
      </c>
      <c r="BZ26" s="12" t="s">
        <v>134</v>
      </c>
      <c r="CA26" s="12" t="s">
        <v>129</v>
      </c>
      <c r="CB26" s="12" t="s">
        <v>131</v>
      </c>
      <c r="CC26" s="12" t="s">
        <v>128</v>
      </c>
      <c r="CD26" s="12" t="s">
        <v>131</v>
      </c>
      <c r="CE26" s="12" t="s">
        <v>131</v>
      </c>
      <c r="CF26" s="12" t="s">
        <v>134</v>
      </c>
      <c r="CG26" s="12" t="s">
        <v>131</v>
      </c>
      <c r="CH26" s="10">
        <v>3</v>
      </c>
      <c r="CI26" s="10">
        <v>12</v>
      </c>
      <c r="CJ26" s="148"/>
      <c r="CK26" s="63"/>
    </row>
    <row r="27" spans="1:89">
      <c r="A27" s="15" t="s">
        <v>246</v>
      </c>
      <c r="B27" s="52"/>
      <c r="C27" s="14">
        <v>-2</v>
      </c>
      <c r="D27" s="14">
        <v>1</v>
      </c>
      <c r="E27" s="14">
        <v>1</v>
      </c>
      <c r="F27" s="14">
        <v>-1</v>
      </c>
      <c r="G27" s="14"/>
      <c r="H27" s="14">
        <v>1</v>
      </c>
      <c r="I27" s="14"/>
      <c r="J27" s="14"/>
      <c r="K27" s="16"/>
      <c r="L27" s="10" t="s">
        <v>287</v>
      </c>
      <c r="M27" s="34">
        <v>0</v>
      </c>
      <c r="N27" s="34">
        <v>161</v>
      </c>
      <c r="O27" s="34">
        <v>331</v>
      </c>
      <c r="P27" s="34">
        <v>661</v>
      </c>
      <c r="Q27" s="34">
        <v>1301</v>
      </c>
      <c r="R27" s="34">
        <v>2601</v>
      </c>
      <c r="S27" s="34">
        <v>5001</v>
      </c>
      <c r="T27" s="34">
        <v>9001</v>
      </c>
      <c r="U27" s="34">
        <v>23001</v>
      </c>
      <c r="V27" s="34">
        <v>50001</v>
      </c>
      <c r="W27" s="34">
        <v>90001</v>
      </c>
      <c r="X27" s="34">
        <v>130001</v>
      </c>
      <c r="Y27" s="34">
        <f>165001+MAX(0,SUMIFS(INDEX(választott_kasztok,,10),INDEX(választott_kasztok,,1),$L27)-13)*50000</f>
        <v>165001</v>
      </c>
      <c r="Z27" s="20">
        <v>5</v>
      </c>
      <c r="AA27" s="20">
        <v>17</v>
      </c>
      <c r="AB27" s="20">
        <v>72</v>
      </c>
      <c r="AC27" s="20">
        <v>0</v>
      </c>
      <c r="AD27" s="10">
        <f>MAX(8,SUMIFS(INDEX(választott_kasztok,,10),INDEX(választott_kasztok,,1),$L27)*8)</f>
        <v>8</v>
      </c>
      <c r="AE27" s="10">
        <f>MAX(3,SUMIFS(INDEX(választott_kasztok,,10),INDEX(választott_kasztok,,1),$L27)*3)</f>
        <v>3</v>
      </c>
      <c r="AF27" s="10">
        <f>MAX(3,SUMIFS(INDEX(választott_kasztok,,10),INDEX(választott_kasztok,,1),$L27)*3)</f>
        <v>3</v>
      </c>
      <c r="AG27" s="20">
        <f>IF(AND(többes_kaszt=iker_kaszt,váltás_kezdet=0,váltás_kezdet&lt;&gt;""),0,6)</f>
        <v>6</v>
      </c>
      <c r="AH27" s="10">
        <f>MAX(0,IF(választott_kaszt_1=$L27,IF(váltás_kezdet="",VLOOKUP($L27,választott_kasztok,10,FALSE)*10,MIN(VLOOKUP($L27,választott_kasztok,10,FALSE),váltás_kezdet)*10+IF(többes_kaszt=iker_kaszt,MAX(0,VLOOKUP($L27,választott_kasztok,10,FALSE)-váltás_kezdet),0)+IF(többes_kaszt=váltott_kaszt,MAX(0,váltás_kezdet-VLOOKUP($L27,választott_kasztok,10,FALSE))*10)),0)+IF(választott_kaszt_2=$L27,VLOOKUP($L27,választott_kasztok,10,FALSE)*IF(többes_kaszt=iker_kaszt,1,10),0))</f>
        <v>0</v>
      </c>
      <c r="AI27" s="20">
        <v>0</v>
      </c>
      <c r="AJ27" s="20">
        <v>6</v>
      </c>
      <c r="AK27" s="20">
        <v>6</v>
      </c>
      <c r="AL27" s="10">
        <f>MAX(1,SUMIFS(INDEX(választott_kasztok,,10),INDEX(választott_kasztok,,1),$L27))*(k6dobás+2)</f>
        <v>8</v>
      </c>
      <c r="AM27" s="10">
        <f>MAX(9,MIN(1,SUMIFS(INDEX(választott_kasztok,,10),INDEX(választott_kasztok,,1),$L27))*9+MAX(0,SUMIFS(INDEX(választott_kasztok,,10),INDEX(választott_kasztok,,1),$L27)-1)*(6+ROUNDUP(k6dobás/2,0)))</f>
        <v>9</v>
      </c>
      <c r="AN27" s="20" t="s">
        <v>1183</v>
      </c>
      <c r="AO27" s="209"/>
      <c r="AP27" s="33">
        <v>0</v>
      </c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117">
        <f>165001+MAX(0,váltás_kezdet-13)*50000</f>
        <v>165001</v>
      </c>
      <c r="BB27" s="17">
        <f t="shared" si="0"/>
        <v>13</v>
      </c>
      <c r="BC27" s="17">
        <f t="shared" si="1"/>
        <v>11</v>
      </c>
      <c r="BD27" s="17">
        <f t="shared" si="2"/>
        <v>11</v>
      </c>
      <c r="BE27" s="17">
        <f t="shared" si="3"/>
        <v>13</v>
      </c>
      <c r="BF27" s="17">
        <f t="shared" si="4"/>
        <v>14</v>
      </c>
      <c r="BG27" s="116">
        <f t="shared" si="5"/>
        <v>16</v>
      </c>
      <c r="BH27" s="17">
        <f t="shared" si="6"/>
        <v>14</v>
      </c>
      <c r="BI27" s="17">
        <f t="shared" si="7"/>
        <v>14</v>
      </c>
      <c r="BJ27" s="17">
        <f t="shared" si="8"/>
        <v>16</v>
      </c>
      <c r="BK27" s="17">
        <f t="shared" si="9"/>
        <v>14</v>
      </c>
      <c r="BL27" s="17">
        <f t="shared" si="10"/>
        <v>0</v>
      </c>
      <c r="BM27" s="13">
        <f t="shared" si="11"/>
        <v>0</v>
      </c>
      <c r="BN27" s="12"/>
      <c r="BO27" s="12"/>
      <c r="BP27" s="12"/>
      <c r="BQ27" s="12"/>
      <c r="BR27" s="12"/>
      <c r="BS27" s="12"/>
      <c r="BT27" s="12"/>
      <c r="BU27" s="12" t="s">
        <v>262</v>
      </c>
      <c r="BV27" s="12" t="s">
        <v>262</v>
      </c>
      <c r="BW27" s="51"/>
      <c r="BX27" s="12" t="s">
        <v>131</v>
      </c>
      <c r="BY27" s="12" t="s">
        <v>129</v>
      </c>
      <c r="BZ27" s="12" t="s">
        <v>129</v>
      </c>
      <c r="CA27" s="12" t="s">
        <v>131</v>
      </c>
      <c r="CB27" s="12" t="s">
        <v>132</v>
      </c>
      <c r="CC27" s="12" t="s">
        <v>135</v>
      </c>
      <c r="CD27" s="12" t="s">
        <v>132</v>
      </c>
      <c r="CE27" s="12" t="s">
        <v>132</v>
      </c>
      <c r="CF27" s="12" t="s">
        <v>134</v>
      </c>
      <c r="CG27" s="12" t="s">
        <v>132</v>
      </c>
      <c r="CH27" s="10">
        <v>3</v>
      </c>
      <c r="CI27" s="10">
        <v>6</v>
      </c>
      <c r="CJ27" s="148"/>
      <c r="CK27" s="63"/>
    </row>
    <row r="28" spans="1:89">
      <c r="A28" s="15" t="s">
        <v>277</v>
      </c>
      <c r="B28" s="52"/>
      <c r="C28" s="14"/>
      <c r="D28" s="14"/>
      <c r="E28" s="14"/>
      <c r="F28" s="14"/>
      <c r="G28" s="14"/>
      <c r="H28" s="14"/>
      <c r="I28" s="14"/>
      <c r="J28" s="14"/>
      <c r="K28" s="16"/>
      <c r="L28" s="20" t="s">
        <v>288</v>
      </c>
      <c r="M28" s="34">
        <v>0</v>
      </c>
      <c r="N28" s="34">
        <v>176</v>
      </c>
      <c r="O28" s="34">
        <v>353</v>
      </c>
      <c r="P28" s="34">
        <v>721</v>
      </c>
      <c r="Q28" s="34">
        <v>1501</v>
      </c>
      <c r="R28" s="34">
        <v>3501</v>
      </c>
      <c r="S28" s="34">
        <v>7001</v>
      </c>
      <c r="T28" s="34">
        <v>10501</v>
      </c>
      <c r="U28" s="34">
        <v>21001</v>
      </c>
      <c r="V28" s="34">
        <v>48001</v>
      </c>
      <c r="W28" s="34">
        <v>78001</v>
      </c>
      <c r="X28" s="34">
        <v>108001</v>
      </c>
      <c r="Y28" s="34">
        <f>138001+MAX(0,SUMIFS(INDEX(választott_kasztok,,10),INDEX(választott_kasztok,,1),$L28)-13)*38000</f>
        <v>138001</v>
      </c>
      <c r="Z28" s="20">
        <v>5</v>
      </c>
      <c r="AA28" s="20">
        <v>20</v>
      </c>
      <c r="AB28" s="20">
        <v>75</v>
      </c>
      <c r="AC28" s="20">
        <v>0</v>
      </c>
      <c r="AD28" s="10">
        <f>MAX(9,SUMIFS(INDEX(választott_kasztok,,10),INDEX(választott_kasztok,,1),$L28)*9)</f>
        <v>9</v>
      </c>
      <c r="AE28" s="10">
        <f>MAX(3,SUMIFS(INDEX(választott_kasztok,,10),INDEX(választott_kasztok,,1),$L28)*3)</f>
        <v>3</v>
      </c>
      <c r="AF28" s="10">
        <f>MAX(3,SUMIFS(INDEX(választott_kasztok,,10),INDEX(választott_kasztok,,1),$L28)*3)</f>
        <v>3</v>
      </c>
      <c r="AG28" s="20">
        <f>IF(AND(többes_kaszt=iker_kaszt,váltás_kezdet=0,váltás_kezdet&lt;&gt;""),0,5)</f>
        <v>5</v>
      </c>
      <c r="AH28" s="10">
        <f>MAX(0,IF(választott_kaszt_1=$L28,IF(váltás_kezdet="",VLOOKUP($L28,választott_kasztok,10,FALSE)*5,MIN(VLOOKUP($L28,választott_kasztok,10,FALSE),váltás_kezdet)*5+IF(többes_kaszt=iker_kaszt,MAX(0,VLOOKUP($L28,választott_kasztok,10,FALSE)-váltás_kezdet),0)+IF(többes_kaszt=váltott_kaszt,MAX(0,váltás_kezdet-VLOOKUP($L28,választott_kasztok,10,FALSE))*5)),0)+IF(választott_kaszt_2=$L28,VLOOKUP($L28,választott_kasztok,10,FALSE)*IF(többes_kaszt=iker_kaszt,1,5),0))</f>
        <v>0</v>
      </c>
      <c r="AI28" s="20">
        <v>0</v>
      </c>
      <c r="AJ28" s="20">
        <v>8</v>
      </c>
      <c r="AK28" s="20">
        <v>7</v>
      </c>
      <c r="AL28" s="10">
        <f>MAX(1,SUMIFS(INDEX(választott_kasztok,,10),INDEX(választott_kasztok,,1),$L28))*(k6dobás+5)</f>
        <v>11</v>
      </c>
      <c r="AM28" s="10">
        <f>MAX(9,MIN(1,SUMIFS(INDEX(választott_kasztok,,10),INDEX(választott_kasztok,,1),$L28))*9+MAX(0,SUMIFS(INDEX(választott_kasztok,,10),INDEX(választott_kasztok,,1),$L28)-1)*(6+ROUNDUP(k6dobás/2,0)))</f>
        <v>9</v>
      </c>
      <c r="AN28" s="20" t="s">
        <v>1183</v>
      </c>
      <c r="AO28" s="209"/>
      <c r="AP28" s="34">
        <v>0</v>
      </c>
      <c r="AQ28" s="57"/>
      <c r="AR28" s="57">
        <v>15</v>
      </c>
      <c r="AS28" s="57"/>
      <c r="AT28" s="57"/>
      <c r="AU28" s="57"/>
      <c r="AV28" s="57"/>
      <c r="AW28" s="57"/>
      <c r="AX28" s="57"/>
      <c r="AY28" s="57"/>
      <c r="AZ28" s="57"/>
      <c r="BA28" s="117">
        <f>138001+MAX(0,váltás_kezdet-13)*38000</f>
        <v>138001</v>
      </c>
      <c r="BB28" s="17">
        <f t="shared" si="0"/>
        <v>14</v>
      </c>
      <c r="BC28" s="17">
        <f t="shared" si="1"/>
        <v>11</v>
      </c>
      <c r="BD28" s="17">
        <f t="shared" si="2"/>
        <v>11</v>
      </c>
      <c r="BE28" s="17">
        <f t="shared" si="3"/>
        <v>14</v>
      </c>
      <c r="BF28" s="116">
        <f t="shared" si="4"/>
        <v>16</v>
      </c>
      <c r="BG28" s="17">
        <f t="shared" si="5"/>
        <v>14</v>
      </c>
      <c r="BH28" s="17">
        <f t="shared" si="6"/>
        <v>13</v>
      </c>
      <c r="BI28" s="17">
        <f t="shared" si="7"/>
        <v>14</v>
      </c>
      <c r="BJ28" s="17">
        <f t="shared" si="8"/>
        <v>16</v>
      </c>
      <c r="BK28" s="17">
        <f t="shared" si="9"/>
        <v>14</v>
      </c>
      <c r="BL28" s="17">
        <f t="shared" si="10"/>
        <v>0</v>
      </c>
      <c r="BM28" s="13">
        <f t="shared" si="11"/>
        <v>0</v>
      </c>
      <c r="BN28" s="12" t="s">
        <v>262</v>
      </c>
      <c r="BO28" s="12"/>
      <c r="BP28" s="12"/>
      <c r="BQ28" s="12"/>
      <c r="BR28" s="12"/>
      <c r="BS28" s="12"/>
      <c r="BT28" s="12"/>
      <c r="BU28" s="12"/>
      <c r="BV28" s="12"/>
      <c r="BW28" s="51"/>
      <c r="BX28" s="12" t="s">
        <v>132</v>
      </c>
      <c r="BY28" s="12" t="s">
        <v>129</v>
      </c>
      <c r="BZ28" s="12" t="s">
        <v>129</v>
      </c>
      <c r="CA28" s="12" t="s">
        <v>132</v>
      </c>
      <c r="CB28" s="12" t="s">
        <v>135</v>
      </c>
      <c r="CC28" s="12" t="s">
        <v>132</v>
      </c>
      <c r="CD28" s="12" t="s">
        <v>131</v>
      </c>
      <c r="CE28" s="12" t="s">
        <v>132</v>
      </c>
      <c r="CF28" s="12" t="s">
        <v>134</v>
      </c>
      <c r="CG28" s="12" t="s">
        <v>132</v>
      </c>
      <c r="CH28" s="10">
        <v>3</v>
      </c>
      <c r="CI28" s="10">
        <v>6</v>
      </c>
      <c r="CJ28" s="148"/>
      <c r="CK28" s="63"/>
    </row>
    <row r="29" spans="1:89">
      <c r="A29" s="15" t="s">
        <v>278</v>
      </c>
      <c r="B29" s="52"/>
      <c r="C29" s="14">
        <v>-1</v>
      </c>
      <c r="D29" s="14">
        <v>1</v>
      </c>
      <c r="E29" s="14"/>
      <c r="F29" s="14"/>
      <c r="G29" s="14"/>
      <c r="H29" s="14"/>
      <c r="I29" s="14"/>
      <c r="J29" s="14"/>
      <c r="K29" s="16"/>
      <c r="L29" s="10" t="s">
        <v>289</v>
      </c>
      <c r="M29" s="34">
        <v>0</v>
      </c>
      <c r="N29" s="34">
        <v>161</v>
      </c>
      <c r="O29" s="34">
        <v>331</v>
      </c>
      <c r="P29" s="34">
        <v>661</v>
      </c>
      <c r="Q29" s="34">
        <v>1301</v>
      </c>
      <c r="R29" s="34">
        <v>2601</v>
      </c>
      <c r="S29" s="34">
        <v>5001</v>
      </c>
      <c r="T29" s="34">
        <v>9001</v>
      </c>
      <c r="U29" s="34">
        <v>23001</v>
      </c>
      <c r="V29" s="34">
        <v>50001</v>
      </c>
      <c r="W29" s="34">
        <v>90001</v>
      </c>
      <c r="X29" s="34">
        <v>130001</v>
      </c>
      <c r="Y29" s="34">
        <f>165001+MAX(0,SUMIFS(INDEX(választott_kasztok,,10),INDEX(választott_kasztok,,1),$L29)-13)*50000</f>
        <v>165001</v>
      </c>
      <c r="Z29" s="20">
        <v>5</v>
      </c>
      <c r="AA29" s="20">
        <v>15</v>
      </c>
      <c r="AB29" s="20">
        <v>65</v>
      </c>
      <c r="AC29" s="20">
        <v>0</v>
      </c>
      <c r="AD29" s="10">
        <f>MAX(6,SUMIFS(INDEX(választott_kasztok,,10),INDEX(választott_kasztok,,1),$L29)*6)</f>
        <v>6</v>
      </c>
      <c r="AE29" s="37">
        <f>MAX(0,SUMIFS(INDEX(választott_kasztok,,10),INDEX(választott_kasztok,,1),$L29)*0)</f>
        <v>0</v>
      </c>
      <c r="AF29" s="37">
        <f>MAX(0,SUMIFS(INDEX(választott_kasztok,,10),INDEX(választott_kasztok,,1),$L29)*0)</f>
        <v>0</v>
      </c>
      <c r="AG29" s="20">
        <f>IF(AND(többes_kaszt=iker_kaszt,váltás_kezdet=0,váltás_kezdet&lt;&gt;""),0,6)</f>
        <v>6</v>
      </c>
      <c r="AH29" s="10">
        <f>MAX(0,IF(választott_kaszt_1=$L29,IF(váltás_kezdet="",VLOOKUP($L29,választott_kasztok,10,FALSE)*10,MIN(VLOOKUP($L29,választott_kasztok,10,FALSE),váltás_kezdet)*10+IF(többes_kaszt=iker_kaszt,MAX(0,VLOOKUP($L29,választott_kasztok,10,FALSE)-váltás_kezdet),0)+IF(többes_kaszt=váltott_kaszt,MAX(0,váltás_kezdet-VLOOKUP($L29,választott_kasztok,10,FALSE))*10)),0)+IF(választott_kaszt_2=$L29,VLOOKUP($L29,választott_kasztok,10,FALSE)*IF(többes_kaszt=iker_kaszt,1,10),0))</f>
        <v>0</v>
      </c>
      <c r="AI29" s="20">
        <v>0</v>
      </c>
      <c r="AJ29" s="20">
        <v>6</v>
      </c>
      <c r="AK29" s="20">
        <v>6</v>
      </c>
      <c r="AL29" s="10">
        <f>MAX(1,SUMIFS(INDEX(választott_kasztok,,10),INDEX(választott_kasztok,,1),$L29))*(k6dobás+2)</f>
        <v>8</v>
      </c>
      <c r="AM29" s="10">
        <f>MAX(6,SUMIFS(INDEX(választott_kasztok,,10),INDEX(választott_kasztok,,1),$L29)*6)</f>
        <v>6</v>
      </c>
      <c r="AN29" s="20" t="s">
        <v>1183</v>
      </c>
      <c r="AO29" s="209"/>
      <c r="AP29" s="33">
        <v>0</v>
      </c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117">
        <f>165001+MAX(0,váltás_kezdet-13)*50000</f>
        <v>165001</v>
      </c>
      <c r="BB29" s="17">
        <f t="shared" si="0"/>
        <v>13</v>
      </c>
      <c r="BC29" s="17">
        <f t="shared" si="1"/>
        <v>11</v>
      </c>
      <c r="BD29" s="17">
        <f t="shared" si="2"/>
        <v>11</v>
      </c>
      <c r="BE29" s="17">
        <f t="shared" si="3"/>
        <v>13</v>
      </c>
      <c r="BF29" s="17">
        <f t="shared" si="4"/>
        <v>14</v>
      </c>
      <c r="BG29" s="116">
        <f t="shared" si="5"/>
        <v>16</v>
      </c>
      <c r="BH29" s="17">
        <f t="shared" si="6"/>
        <v>14</v>
      </c>
      <c r="BI29" s="17">
        <f t="shared" si="7"/>
        <v>14</v>
      </c>
      <c r="BJ29" s="17">
        <f t="shared" si="8"/>
        <v>16</v>
      </c>
      <c r="BK29" s="17">
        <f t="shared" si="9"/>
        <v>14</v>
      </c>
      <c r="BL29" s="17">
        <f t="shared" si="10"/>
        <v>0</v>
      </c>
      <c r="BM29" s="13">
        <f t="shared" si="11"/>
        <v>0</v>
      </c>
      <c r="BN29" s="12"/>
      <c r="BO29" s="12"/>
      <c r="BP29" s="12"/>
      <c r="BQ29" s="12"/>
      <c r="BR29" s="12"/>
      <c r="BS29" s="12"/>
      <c r="BT29" s="12"/>
      <c r="BU29" s="12" t="s">
        <v>262</v>
      </c>
      <c r="BV29" s="12" t="s">
        <v>262</v>
      </c>
      <c r="BW29" s="51"/>
      <c r="BX29" s="12" t="s">
        <v>131</v>
      </c>
      <c r="BY29" s="12" t="s">
        <v>129</v>
      </c>
      <c r="BZ29" s="12" t="s">
        <v>129</v>
      </c>
      <c r="CA29" s="12" t="s">
        <v>131</v>
      </c>
      <c r="CB29" s="12" t="s">
        <v>132</v>
      </c>
      <c r="CC29" s="12" t="s">
        <v>135</v>
      </c>
      <c r="CD29" s="12" t="s">
        <v>132</v>
      </c>
      <c r="CE29" s="12" t="s">
        <v>132</v>
      </c>
      <c r="CF29" s="12" t="s">
        <v>134</v>
      </c>
      <c r="CG29" s="12" t="s">
        <v>132</v>
      </c>
      <c r="CH29" s="10">
        <v>3</v>
      </c>
      <c r="CI29" s="10">
        <v>6</v>
      </c>
      <c r="CJ29" s="148"/>
      <c r="CK29" s="63"/>
    </row>
    <row r="30" spans="1:89">
      <c r="A30" s="15" t="s">
        <v>249</v>
      </c>
      <c r="B30" s="52"/>
      <c r="C30" s="14">
        <v>3</v>
      </c>
      <c r="D30" s="14">
        <v>2</v>
      </c>
      <c r="E30" s="14">
        <v>1</v>
      </c>
      <c r="F30" s="14">
        <v>2</v>
      </c>
      <c r="G30" s="14">
        <v>3</v>
      </c>
      <c r="H30" s="14"/>
      <c r="I30" s="14">
        <v>-1</v>
      </c>
      <c r="J30" s="14">
        <v>-5</v>
      </c>
      <c r="K30" s="16"/>
      <c r="L30" s="20" t="s">
        <v>102</v>
      </c>
      <c r="M30" s="34">
        <v>0</v>
      </c>
      <c r="N30" s="34">
        <v>176</v>
      </c>
      <c r="O30" s="34">
        <v>353</v>
      </c>
      <c r="P30" s="34">
        <v>721</v>
      </c>
      <c r="Q30" s="34">
        <v>1501</v>
      </c>
      <c r="R30" s="34">
        <v>3501</v>
      </c>
      <c r="S30" s="34">
        <v>7001</v>
      </c>
      <c r="T30" s="34">
        <v>10501</v>
      </c>
      <c r="U30" s="34">
        <v>21001</v>
      </c>
      <c r="V30" s="34">
        <v>48001</v>
      </c>
      <c r="W30" s="34">
        <v>78001</v>
      </c>
      <c r="X30" s="34">
        <v>108001</v>
      </c>
      <c r="Y30" s="34">
        <f>138001+MAX(0,SUMIFS(INDEX(választott_kasztok,,10),INDEX(választott_kasztok,,1),$L30)-13)*38000</f>
        <v>138001</v>
      </c>
      <c r="Z30" s="20">
        <v>5</v>
      </c>
      <c r="AA30" s="20">
        <v>20</v>
      </c>
      <c r="AB30" s="20">
        <v>75</v>
      </c>
      <c r="AC30" s="20">
        <v>0</v>
      </c>
      <c r="AD30" s="10">
        <f>MAX(9,SUMIFS(INDEX(választott_kasztok,,10),INDEX(választott_kasztok,,1),$L30)*9)</f>
        <v>9</v>
      </c>
      <c r="AE30" s="10">
        <f t="shared" ref="AE30:AF42" si="71">MAX(3,SUMIFS(INDEX(választott_kasztok,,10),INDEX(választott_kasztok,,1),$L30)*3)</f>
        <v>3</v>
      </c>
      <c r="AF30" s="10">
        <f t="shared" si="71"/>
        <v>3</v>
      </c>
      <c r="AG30" s="20">
        <f>IF(AND(többes_kaszt=iker_kaszt,váltás_kezdet=0,váltás_kezdet&lt;&gt;""),0,10)</f>
        <v>10</v>
      </c>
      <c r="AH30" s="10">
        <f>MAX(0,IF(választott_kaszt_1=$L30,IF(váltás_kezdet="",VLOOKUP($L30,választott_kasztok,10,FALSE)*5,MIN(VLOOKUP($L30,választott_kasztok,10,FALSE),váltás_kezdet)*5+IF(többes_kaszt=iker_kaszt,MAX(0,VLOOKUP($L30,választott_kasztok,10,FALSE)-váltás_kezdet),0)+IF(többes_kaszt=váltott_kaszt,MAX(0,váltás_kezdet-VLOOKUP($L30,választott_kasztok,10,FALSE))*5)),0)+IF(választott_kaszt_2=$L30,VLOOKUP($L30,választott_kasztok,10,FALSE)*IF(többes_kaszt=iker_kaszt,1,5),0))</f>
        <v>0</v>
      </c>
      <c r="AI30" s="20">
        <v>0</v>
      </c>
      <c r="AJ30" s="20">
        <v>6</v>
      </c>
      <c r="AK30" s="20">
        <v>8</v>
      </c>
      <c r="AL30" s="10">
        <f>MAX(1,SUMIFS(INDEX(választott_kasztok,,10),INDEX(választott_kasztok,,1),$L30))*(k6dobás+6)</f>
        <v>12</v>
      </c>
      <c r="AM30" s="10">
        <f>MAX(5,MIN(1,SUMIFS(INDEX(választott_kasztok,,10),INDEX(választott_kasztok,,1),$L30))*5+MAX(0,SUMIFS(INDEX(választott_kasztok,,10),INDEX(választott_kasztok,,1),$L30)-1)*(1+ROUNDUP(k6dobás/2,0)))</f>
        <v>5</v>
      </c>
      <c r="AN30" s="20" t="str">
        <f>IF(OR(tanultAfTSZ&gt;0,tanultMfTSZ&gt;0),pyarroni,nincsen)</f>
        <v>nincs</v>
      </c>
      <c r="AO30" s="208" t="str">
        <f>IF(tanultMfkaszt=0,"00",IF(INDEX(választott_kasztok,tanultMfkaszt,1)=$L30,TEXT(tanultMfTSZ,"00"),"00"))&amp;IF(tanultAfkaszt=0,"00",IF(INDEX(választott_kasztok,tanultAfkaszt,1)=$L30,TEXT(tanultAfTSZ,"00"),"00"))&amp;"01"</f>
        <v>000001</v>
      </c>
      <c r="AP30" s="34">
        <v>0</v>
      </c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117">
        <f>138001+MAX(0,váltás_kezdet-13)*38000</f>
        <v>138001</v>
      </c>
      <c r="BB30" s="17">
        <f t="shared" si="0"/>
        <v>14</v>
      </c>
      <c r="BC30" s="17">
        <f t="shared" si="1"/>
        <v>11</v>
      </c>
      <c r="BD30" s="17">
        <f t="shared" si="2"/>
        <v>11</v>
      </c>
      <c r="BE30" s="17">
        <f t="shared" si="3"/>
        <v>14</v>
      </c>
      <c r="BF30" s="116">
        <f t="shared" si="4"/>
        <v>16</v>
      </c>
      <c r="BG30" s="17">
        <f t="shared" si="5"/>
        <v>14</v>
      </c>
      <c r="BH30" s="17">
        <f t="shared" si="6"/>
        <v>13</v>
      </c>
      <c r="BI30" s="17">
        <f t="shared" si="7"/>
        <v>14</v>
      </c>
      <c r="BJ30" s="17">
        <f t="shared" si="8"/>
        <v>16</v>
      </c>
      <c r="BK30" s="17">
        <f t="shared" si="9"/>
        <v>14</v>
      </c>
      <c r="BL30" s="17">
        <f t="shared" si="10"/>
        <v>0</v>
      </c>
      <c r="BM30" s="13">
        <f t="shared" si="11"/>
        <v>0</v>
      </c>
      <c r="BN30" s="12" t="s">
        <v>262</v>
      </c>
      <c r="BO30" s="12"/>
      <c r="BP30" s="12"/>
      <c r="BQ30" s="12"/>
      <c r="BR30" s="12"/>
      <c r="BS30" s="12"/>
      <c r="BT30" s="12"/>
      <c r="BU30" s="12"/>
      <c r="BV30" s="12"/>
      <c r="BW30" s="51"/>
      <c r="BX30" s="12" t="s">
        <v>132</v>
      </c>
      <c r="BY30" s="12" t="s">
        <v>129</v>
      </c>
      <c r="BZ30" s="12" t="s">
        <v>129</v>
      </c>
      <c r="CA30" s="12" t="s">
        <v>132</v>
      </c>
      <c r="CB30" s="12" t="s">
        <v>135</v>
      </c>
      <c r="CC30" s="12" t="s">
        <v>132</v>
      </c>
      <c r="CD30" s="12" t="s">
        <v>131</v>
      </c>
      <c r="CE30" s="12" t="s">
        <v>132</v>
      </c>
      <c r="CF30" s="12" t="s">
        <v>134</v>
      </c>
      <c r="CG30" s="12" t="s">
        <v>132</v>
      </c>
      <c r="CH30" s="10">
        <v>3</v>
      </c>
      <c r="CI30" s="10">
        <v>6</v>
      </c>
      <c r="CJ30" s="148"/>
      <c r="CK30" s="63"/>
    </row>
    <row r="31" spans="1:89">
      <c r="A31" s="15" t="s">
        <v>985</v>
      </c>
      <c r="B31" s="52"/>
      <c r="C31" s="14"/>
      <c r="D31" s="14"/>
      <c r="E31" s="14"/>
      <c r="F31" s="14"/>
      <c r="G31" s="14"/>
      <c r="H31" s="14"/>
      <c r="I31" s="14"/>
      <c r="J31" s="14"/>
      <c r="K31" s="16"/>
      <c r="L31" s="10" t="s">
        <v>1251</v>
      </c>
      <c r="M31" s="33">
        <v>0</v>
      </c>
      <c r="N31" s="33">
        <v>189</v>
      </c>
      <c r="O31" s="33">
        <v>377</v>
      </c>
      <c r="P31" s="33">
        <v>661</v>
      </c>
      <c r="Q31" s="33">
        <v>1301</v>
      </c>
      <c r="R31" s="33">
        <v>2601</v>
      </c>
      <c r="S31" s="33">
        <v>5001</v>
      </c>
      <c r="T31" s="33">
        <v>9001</v>
      </c>
      <c r="U31" s="33">
        <v>23001</v>
      </c>
      <c r="V31" s="33">
        <v>50001</v>
      </c>
      <c r="W31" s="33">
        <v>90001</v>
      </c>
      <c r="X31" s="33">
        <v>130001</v>
      </c>
      <c r="Y31" s="34">
        <f>165001+MAX(0,SUMIFS(INDEX(választott_kasztok,,10),INDEX(választott_kasztok,,1),$L31)-13)*50000</f>
        <v>165001</v>
      </c>
      <c r="Z31" s="10">
        <f>IF(SUMIFS(INDEX(választott_kasztok,,10),INDEX(választott_kasztok,,1),$L31)&gt;3,9,0)</f>
        <v>0</v>
      </c>
      <c r="AA31" s="10">
        <f>IF(SUMIFS(INDEX(választott_kasztok,,10),INDEX(választott_kasztok,,1),$L31)&gt;3,20,0)</f>
        <v>0</v>
      </c>
      <c r="AB31" s="10">
        <f>IF(SUMIFS(INDEX(választott_kasztok,,10),INDEX(választott_kasztok,,1),$L31)&gt;3,75,0)</f>
        <v>0</v>
      </c>
      <c r="AC31" s="10">
        <v>0</v>
      </c>
      <c r="AD31" s="249">
        <f>IF(SUMIFS(INDEX(választott_kasztok,,10),INDEX(választott_kasztok,,1),$L31)&gt;3,MAX(12,MIN(3,SUMIFS(INDEX(választott_kasztok,,10),INDEX(választott_kasztok,,1),$L31))*12+MAX(0,SUMIFS(INDEX(választott_kasztok,,10),INDEX(választott_kasztok,,1),$L31)-3)*8),0)</f>
        <v>0</v>
      </c>
      <c r="AE31" s="247">
        <f>IF(SUMIFS(INDEX(választott_kasztok,,10),INDEX(választott_kasztok,,1),$L31)&gt;3,MAX(4,MIN(3,SUMIFS(INDEX(választott_kasztok,,10),INDEX(választott_kasztok,,1),$L31))*4+MAX(0,SUMIFS(INDEX(választott_kasztok,,10),INDEX(választott_kasztok,,1),$L31)-3)*3),0)</f>
        <v>0</v>
      </c>
      <c r="AF31" s="247">
        <f>IF(SUMIFS(INDEX(választott_kasztok,,10),INDEX(választott_kasztok,,1),$L31)&gt;3,MAX(4,MIN(3,SUMIFS(INDEX(választott_kasztok,,10),INDEX(választott_kasztok,,1),$L31))*4+MAX(0,SUMIFS(INDEX(választott_kasztok,,10),INDEX(választott_kasztok,,1),$L31)-3)*3),0)</f>
        <v>0</v>
      </c>
      <c r="AG31" s="20">
        <f>IF(SUMIFS(INDEX(választott_kasztok,,10),INDEX(választott_kasztok,,1),$L31)&gt;3,IF(AND(többes_kaszt=iker_kaszt,váltás_kezdet=0,váltás_kezdet&lt;&gt;""),0,3),0)</f>
        <v>0</v>
      </c>
      <c r="AH31" s="250">
        <f>IF(SUMIFS(INDEX(választott_kasztok,,10),INDEX(választott_kasztok,,1),$L31)&gt;3,3*(6-12)-(MIN(1,SUMIFS(INDEX(választott_kasztok,,10),INDEX(választott_kasztok,,1),$L31)-3)*12)+MAX(10,IF(választott_kaszt_1=$L31,IF(váltás_kezdet="",VLOOKUP($L31,választott_kasztok,10,FALSE)*12,MIN(VLOOKUP($L31,választott_kasztok,10,FALSE),váltás_kezdet)*12+IF(többes_kaszt=iker_kaszt,MAX(0,VLOOKUP($L31,választott_kasztok,10,FALSE)-váltás_kezdet),0)+IF(többes_kaszt=váltott_kaszt,MAX(0,váltás_kezdet-VLOOKUP($L31,választott_kasztok,10,FALSE))*12)),0)+IF(választott_kaszt_2=$L31,VLOOKUP($L31,választott_kasztok,10,FALSE)*IF(többes_kaszt=iker_kaszt,1,12),0)),0)</f>
        <v>0</v>
      </c>
      <c r="AI31" s="10">
        <v>0</v>
      </c>
      <c r="AJ31" s="10">
        <f>IF(SUMIFS(INDEX(választott_kasztok,,10),INDEX(választott_kasztok,,1),$L31)&gt;3,8,0)</f>
        <v>0</v>
      </c>
      <c r="AK31" s="247">
        <f>IF(SUMIFS(INDEX(választott_kasztok,,10),INDEX(választott_kasztok,,1),$L31)&gt;3,7,0)</f>
        <v>0</v>
      </c>
      <c r="AL31" s="247">
        <f>IF(SUMIFS(INDEX(választott_kasztok,,10),INDEX(választott_kasztok,,1),$L31)&gt;3,MAX(1,SUMIFS(INDEX(választott_kasztok,,10),INDEX(választott_kasztok,,1),$L31))*(k6dobás+5)-(3*3),0)</f>
        <v>0</v>
      </c>
      <c r="AM31" s="10">
        <f>MAX(9,MIN(1,(SUMIFS(INDEX(választott_kasztok,,10),INDEX(választott_kasztok,,1),$L31)-3))*9+MAX(0,SUMIFS(INDEX(választott_kasztok,,10),INDEX(választott_kasztok,,1),$L31)-(1+3))*(6+ROUNDUP(k6dobás/2,0)))</f>
        <v>9</v>
      </c>
      <c r="AN31" s="20" t="str">
        <f>IF(OR(SUMIFS(INDEX(választott_kasztok,,10),INDEX(választott_kasztok,,1),$L31)&gt;3,tanultAfTSZ&gt;0,tanultMfTSZ&gt;0),pyarroni,nincsen)</f>
        <v>nincs</v>
      </c>
      <c r="AO31" s="209" t="str">
        <f>TEXT(IF(tanultMfkaszt=0,IF(SUMIFS(INDEX(választott_kasztok,,10),INDEX(választott_kasztok,,1),$L31)&lt;4,0,4),IF(INDEX(választott_kasztok,tanultMfkaszt,1)=$L31,IF(OR(tanultMfTSZ=0,tanultMfTSZ&gt;MIN(4,SUMIFS(INDEX(választott_kasztok,,10),INDEX(választott_kasztok,,1),$L31))),IF(SUMIFS(INDEX(választott_kasztok,,10),INDEX(választott_kasztok,,1),$L31)&lt;4,0,4),MIN(4,tanultMfTSZ)),0)),"00")&amp;TEXT(IF(tanultAfkaszt=0,IF(SUMIFS(INDEX(választott_kasztok,,10),INDEX(választott_kasztok,,1),$L31)&lt;4,0,4),IF(INDEX(választott_kasztok,tanultAfkaszt,1)=$L31,IF(OR(tanultAfTSZ=0,tanultAfTSZ&gt;MIN(4,SUMIFS(INDEX(választott_kasztok,,10),INDEX(választott_kasztok,,1),$L31))),IF(SUMIFS(INDEX(választott_kasztok,,10),INDEX(választott_kasztok,,1),$L31)&lt;4,0,4),MIN(4,tanultAfTSZ)),0)),"00")&amp;"01"</f>
        <v>000001</v>
      </c>
      <c r="AP31" s="33">
        <v>0</v>
      </c>
      <c r="AQ31" s="56"/>
      <c r="AR31" s="56">
        <v>30</v>
      </c>
      <c r="AS31" s="56">
        <v>20</v>
      </c>
      <c r="AT31" s="56"/>
      <c r="AU31" s="56"/>
      <c r="AV31" s="56"/>
      <c r="AW31" s="56"/>
      <c r="AX31" s="56"/>
      <c r="AY31" s="56"/>
      <c r="AZ31" s="56"/>
      <c r="BA31" s="117">
        <f>165001+MAX(0,váltás_kezdet-13)*50000</f>
        <v>165001</v>
      </c>
      <c r="BB31" s="17">
        <f t="shared" ref="BB31:BB33" si="72">MAX(SUMIFS(INDEX(dobások,,2),INDEX(dobások,,1),BX31)+SUMIFS(INDEX(fajok,,3),INDEX(fajok,,1),választott_faj),IF(AND(többes_kaszt=iker_kaszt,váltás_kezdet=1,választott_kaszt_1=$L31),SUMIFS(INDEX(kasztok,,43),INDEX(kasztok,,1),választott_kaszt_2),0))</f>
        <v>16</v>
      </c>
      <c r="BC31" s="17">
        <f t="shared" ref="BC31:BC33" si="73">MAX(SUMIFS(INDEX(dobások,,2),INDEX(dobások,,1),BY31)+SUMIFS(INDEX(fajok,,4),INDEX(fajok,,1),választott_faj),IF(AND(többes_kaszt=iker_kaszt,váltás_kezdet=1,választott_kaszt_1=$L31),SUMIFS(INDEX(kasztok,,44),INDEX(kasztok,,1),választott_kaszt_2),0))</f>
        <v>13</v>
      </c>
      <c r="BD31" s="17">
        <f t="shared" ref="BD31:BD33" si="74">MAX(SUMIFS(INDEX(dobások,,2),INDEX(dobások,,1),BZ31)+SUMIFS(INDEX(fajok,,5),INDEX(fajok,,1),választott_faj),IF(AND(többes_kaszt=iker_kaszt,váltás_kezdet=1,választott_kaszt_1=$L31),SUMIFS(INDEX(kasztok,,45),INDEX(kasztok,,1),választott_kaszt_2),0))</f>
        <v>13</v>
      </c>
      <c r="BE31" s="17">
        <f t="shared" ref="BE31:BE33" si="75">MAX(SUMIFS(INDEX(dobások,,2),INDEX(dobások,,1),CA31)+SUMIFS(INDEX(fajok,,6),INDEX(fajok,,1),választott_faj),IF(AND(többes_kaszt=iker_kaszt,váltás_kezdet=1,választott_kaszt_1=$L31),SUMIFS(INDEX(kasztok,,46),INDEX(kasztok,,1),választott_kaszt_2),0))</f>
        <v>14</v>
      </c>
      <c r="BF31" s="116">
        <f t="shared" ref="BF31:BF33" si="76">MAX(SUMIFS(INDEX(dobások,,2),INDEX(dobások,,1),CB31)+SUMIFS(INDEX(fajok,,7),INDEX(fajok,,1),választott_faj),IF(AND(többes_kaszt=iker_kaszt,váltás_kezdet=1,választott_kaszt_1=$L31),SUMIFS(INDEX(kasztok,,47),INDEX(kasztok,,1),választott_kaszt_2),0))</f>
        <v>16</v>
      </c>
      <c r="BG31" s="116">
        <f t="shared" si="5"/>
        <v>16</v>
      </c>
      <c r="BH31" s="17">
        <f t="shared" ref="BH31:BH33" si="77">MAX(SUMIFS(INDEX(dobások,,2),INDEX(dobások,,1),CD31)+SUMIFS(INDEX(fajok,,9),INDEX(fajok,,1),választott_faj),IF(AND(többes_kaszt=iker_kaszt,váltás_kezdet=1,választott_kaszt_1=$L31),SUMIFS(INDEX(kasztok,,49),INDEX(kasztok,,1),választott_kaszt_2),0))</f>
        <v>14</v>
      </c>
      <c r="BI31" s="17">
        <f t="shared" ref="BI31:BI33" si="78">MAX(SUMIFS(INDEX(dobások,,2),INDEX(dobások,,1),CE31),IF(AND(többes_kaszt=iker_kaszt,váltás_kezdet=1,választott_kaszt_1=$L31),SUMIFS(INDEX(kasztok,,50),INDEX(kasztok,,1),választott_kaszt_2),0))</f>
        <v>14</v>
      </c>
      <c r="BJ31" s="17">
        <f t="shared" ref="BJ31:BJ33" si="79">MAX(SUMIFS(INDEX(dobások,,2),INDEX(dobások,,1),CF31)+SUMIFS(INDEX(fajok,,10),INDEX(fajok,,1),választott_faj),IF(AND(többes_kaszt=iker_kaszt,váltás_kezdet=1,választott_kaszt_1=$L31),SUMIFS(INDEX(kasztok,,51),INDEX(kasztok,,1),választott_kaszt_2),0))</f>
        <v>16</v>
      </c>
      <c r="BK31" s="17">
        <f t="shared" ref="BK31:BK33" si="80">MAX(SUMIFS(INDEX(dobások,,2),INDEX(dobások,,1),CG31),IF(AND(többes_kaszt=iker_kaszt,váltás_kezdet=1,választott_kaszt_1=$L31),SUMIFS(INDEX(kasztok,,52),INDEX(kasztok,,1),választott_kaszt_2),0))</f>
        <v>14</v>
      </c>
      <c r="BL31" s="17">
        <f t="shared" si="10"/>
        <v>0</v>
      </c>
      <c r="BM31" s="13">
        <f t="shared" ref="BM31:BM33" si="81">MAX(0,erő-(SUMIFS(INDEX(dobások,,4),INDEX(dobások,,1),BX31)+SUMIFS(INDEX(fajok,,3),INDEX(fajok,,1),választott_faj)))+MAX(0,gyorsaság-(SUMIFS(INDEX(dobások,,4),INDEX(dobások,,1),BY31)+SUMIFS(INDEX(fajok,,4),INDEX(fajok,,1),választott_faj)))+MAX(0,ügyesség-(SUMIFS(INDEX(dobások,,4),INDEX(dobások,,1),BZ31)+SUMIFS(INDEX(fajok,,5),INDEX(fajok,,1),választott_faj)))+MAX(0,állóképesség-(SUMIFS(INDEX(dobások,,4),INDEX(dobások,,1),CA31)+SUMIFS(INDEX(fajok,,6),INDEX(fajok,,1),választott_faj)))+MAX(0,egészség-(SUMIFS(INDEX(dobások,,4),INDEX(dobások,,1),CB31)+SUMIFS(INDEX(fajok,,7),INDEX(fajok,,1),választott_faj)))+MAX(0,szépség-(SUMIFS(INDEX(dobások,,4),INDEX(dobások,,1),CC31)+SUMIFS(INDEX(fajok,,8),INDEX(fajok,,1),választott_faj)))+MAX(0,intelligencia-(SUMIFS(INDEX(dobások,,4),INDEX(dobások,,1),CD31)+SUMIFS(INDEX(fajok,,9),INDEX(fajok,,1),választott_faj)))+MAX(0,akaraterő-SUMIFS(INDEX(dobások,,4),INDEX(dobások,,1),CE31))+MAX(0,asztrál-(SUMIFS(INDEX(dobások,,4),INDEX(dobások,,1),CF31)+SUMIFS(INDEX(fajok,,10),INDEX(fajok,,1),választott_faj)))+MAX(0,érzékelés-SUMIFS(INDEX(dobások,,4),INDEX(dobások,,1),CG31))</f>
        <v>0</v>
      </c>
      <c r="BN31" s="12" t="s">
        <v>262</v>
      </c>
      <c r="BO31" s="12" t="s">
        <v>262</v>
      </c>
      <c r="BP31" s="12" t="s">
        <v>262</v>
      </c>
      <c r="BQ31" s="12" t="s">
        <v>262</v>
      </c>
      <c r="BR31" s="12"/>
      <c r="BS31" s="12"/>
      <c r="BT31" s="12"/>
      <c r="BU31" s="12"/>
      <c r="BV31" s="12"/>
      <c r="BW31" s="51"/>
      <c r="BX31" s="12" t="s">
        <v>134</v>
      </c>
      <c r="BY31" s="12" t="s">
        <v>131</v>
      </c>
      <c r="BZ31" s="12" t="s">
        <v>131</v>
      </c>
      <c r="CA31" s="12" t="s">
        <v>132</v>
      </c>
      <c r="CB31" s="12" t="s">
        <v>135</v>
      </c>
      <c r="CC31" s="260" t="s">
        <v>135</v>
      </c>
      <c r="CD31" s="260" t="s">
        <v>132</v>
      </c>
      <c r="CE31" s="260" t="s">
        <v>132</v>
      </c>
      <c r="CF31" s="260" t="s">
        <v>134</v>
      </c>
      <c r="CG31" s="260" t="s">
        <v>132</v>
      </c>
      <c r="CH31" s="247">
        <v>3</v>
      </c>
      <c r="CI31" s="10">
        <v>6</v>
      </c>
      <c r="CJ31" s="148"/>
      <c r="CK31" s="63"/>
    </row>
    <row r="32" spans="1:89">
      <c r="A32" s="15" t="s">
        <v>280</v>
      </c>
      <c r="B32" s="52"/>
      <c r="C32" s="14">
        <v>1</v>
      </c>
      <c r="D32" s="14"/>
      <c r="E32" s="14"/>
      <c r="F32" s="14">
        <v>1</v>
      </c>
      <c r="G32" s="14">
        <v>1</v>
      </c>
      <c r="H32" s="14">
        <v>-2</v>
      </c>
      <c r="I32" s="14">
        <v>-1</v>
      </c>
      <c r="J32" s="14">
        <v>-1</v>
      </c>
      <c r="K32" s="16"/>
      <c r="L32" s="10" t="s">
        <v>1252</v>
      </c>
      <c r="M32" s="33">
        <v>0</v>
      </c>
      <c r="N32" s="33">
        <v>161</v>
      </c>
      <c r="O32" s="33">
        <v>321</v>
      </c>
      <c r="P32" s="33">
        <v>661</v>
      </c>
      <c r="Q32" s="33">
        <v>1301</v>
      </c>
      <c r="R32" s="33">
        <v>2601</v>
      </c>
      <c r="S32" s="33">
        <v>5001</v>
      </c>
      <c r="T32" s="33">
        <v>9001</v>
      </c>
      <c r="U32" s="33">
        <v>23001</v>
      </c>
      <c r="V32" s="33">
        <v>50001</v>
      </c>
      <c r="W32" s="33">
        <v>90001</v>
      </c>
      <c r="X32" s="33">
        <v>130001</v>
      </c>
      <c r="Y32" s="34">
        <f>165001+MAX(0,SUMIFS(INDEX(választott_kasztok,,10),INDEX(választott_kasztok,,1),$L32)-13)*50000</f>
        <v>165001</v>
      </c>
      <c r="Z32" s="10">
        <f>IF(SUMIFS(INDEX(választott_kasztok,,10),INDEX(választott_kasztok,,1),$L32)&gt;3,9,0)</f>
        <v>0</v>
      </c>
      <c r="AA32" s="10">
        <f>IF(SUMIFS(INDEX(választott_kasztok,,10),INDEX(választott_kasztok,,1),$L32)&gt;3,20,0)</f>
        <v>0</v>
      </c>
      <c r="AB32" s="10">
        <f>IF(SUMIFS(INDEX(választott_kasztok,,10),INDEX(választott_kasztok,,1),$L32)&gt;3,75,0)</f>
        <v>0</v>
      </c>
      <c r="AC32" s="10">
        <v>0</v>
      </c>
      <c r="AD32" s="249">
        <f>IF(SUMIFS(INDEX(választott_kasztok,,10),INDEX(választott_kasztok,,1),$L32)&gt;3,MAX(11,MIN(3,SUMIFS(INDEX(választott_kasztok,,10),INDEX(választott_kasztok,,1),$L32))*11+MAX(0,SUMIFS(INDEX(választott_kasztok,,10),INDEX(választott_kasztok,,1),$L32)-3)*8),0)</f>
        <v>0</v>
      </c>
      <c r="AE32" s="247">
        <f>IF(SUMIFS(INDEX(választott_kasztok,,10),INDEX(választott_kasztok,,1),$L32)&gt;3,MAX(5,MIN(3,SUMIFS(INDEX(választott_kasztok,,10),INDEX(választott_kasztok,,1),$L32))*5+MAX(0,SUMIFS(INDEX(választott_kasztok,,10),INDEX(választott_kasztok,,1),$L32)-3)*3),0)</f>
        <v>0</v>
      </c>
      <c r="AF32" s="247">
        <f>IF(SUMIFS(INDEX(választott_kasztok,,10),INDEX(választott_kasztok,,1),$L32)&gt;3,MAX(3,MIN(3,SUMIFS(INDEX(választott_kasztok,,10),INDEX(választott_kasztok,,1),$L32))*3+MAX(0,SUMIFS(INDEX(választott_kasztok,,10),INDEX(választott_kasztok,,1),$L32)-3)*3),0)</f>
        <v>0</v>
      </c>
      <c r="AG32" s="20">
        <f>IF(SUMIFS(INDEX(választott_kasztok,,10),INDEX(választott_kasztok,,1),$L32)&gt;3,IF(AND(többes_kaszt=iker_kaszt,váltás_kezdet=0,váltás_kezdet&lt;&gt;""),0,10),0)</f>
        <v>0</v>
      </c>
      <c r="AH32" s="250">
        <f>IF(SUMIFS(INDEX(választott_kasztok,,10),INDEX(választott_kasztok,,1),$L32)&gt;3,3*(14-12)-(MIN(1,SUMIFS(INDEX(választott_kasztok,,10),INDEX(választott_kasztok,,1),$L32)-3)*12)+MAX(10,IF(választott_kaszt_1=$L32,IF(váltás_kezdet="",VLOOKUP($L32,választott_kasztok,10,FALSE)*12,MIN(VLOOKUP($L32,választott_kasztok,10,FALSE),váltás_kezdet)*12+IF(többes_kaszt=iker_kaszt,MAX(0,VLOOKUP($L32,választott_kasztok,10,FALSE)-váltás_kezdet),0)+IF(többes_kaszt=váltott_kaszt,MAX(0,váltás_kezdet-VLOOKUP($L32,választott_kasztok,10,FALSE))*12)),0)+IF(választott_kaszt_2=$L32,VLOOKUP($L32,választott_kasztok,10,FALSE)*IF(többes_kaszt=iker_kaszt,1,12),0)),0)</f>
        <v>0</v>
      </c>
      <c r="AI32" s="10">
        <v>0</v>
      </c>
      <c r="AJ32" s="10">
        <f>IF(SUMIFS(INDEX(választott_kasztok,,10),INDEX(választott_kasztok,,1),$L32)&gt;3,6,0)</f>
        <v>0</v>
      </c>
      <c r="AK32" s="247">
        <f>IF(SUMIFS(INDEX(választott_kasztok,,10),INDEX(választott_kasztok,,1),$L32)&gt;3,8,0)</f>
        <v>0</v>
      </c>
      <c r="AL32" s="247">
        <f>IF(SUMIFS(INDEX(választott_kasztok,,10),INDEX(választott_kasztok,,1),$L32)&gt;3,MAX(1,SUMIFS(INDEX(választott_kasztok,,10),INDEX(választott_kasztok,,1),$L32))*(k6dobás+4)-(3*2),0)</f>
        <v>0</v>
      </c>
      <c r="AM32" s="10">
        <f>MAX(9,MIN(1,(SUMIFS(INDEX(választott_kasztok,,10),INDEX(választott_kasztok,,1),$L32)-3))*9+MAX(0,SUMIFS(INDEX(választott_kasztok,,10),INDEX(választott_kasztok,,1),$L32)-(1+3))*(6+ROUNDUP(k6dobás/2,0)))</f>
        <v>9</v>
      </c>
      <c r="AN32" s="20" t="str">
        <f>IF(OR(SUMIFS(INDEX(választott_kasztok,,10),INDEX(választott_kasztok,,1),$L32)&gt;3,tanultAfTSZ&gt;0,tanultMfTSZ&gt;0),pyarroni,nincsen)</f>
        <v>nincs</v>
      </c>
      <c r="AO32" s="209" t="str">
        <f>TEXT(IF(tanultMfkaszt=0,IF(SUMIFS(INDEX(választott_kasztok,,10),INDEX(választott_kasztok,,1),$L32)&lt;4,0,4),IF(INDEX(választott_kasztok,tanultMfkaszt,1)=$L32,IF(OR(tanultMfTSZ=0,tanultMfTSZ&gt;MIN(4,SUMIFS(INDEX(választott_kasztok,,10),INDEX(választott_kasztok,,1),$L32))),IF(SUMIFS(INDEX(választott_kasztok,,10),INDEX(választott_kasztok,,1),$L32)&lt;4,0,4),MIN(4,tanultMfTSZ)),0)),"00")&amp;TEXT(IF(tanultAfkaszt=0,IF(SUMIFS(INDEX(választott_kasztok,,10),INDEX(választott_kasztok,,1),$L32)&lt;4,0,4),IF(INDEX(választott_kasztok,tanultAfkaszt,1)=$L32,IF(OR(tanultAfTSZ=0,tanultAfTSZ&gt;MIN(4,SUMIFS(INDEX(választott_kasztok,,10),INDEX(választott_kasztok,,1),$L32))),IF(SUMIFS(INDEX(választott_kasztok,,10),INDEX(választott_kasztok,,1),$L32)&lt;4,0,4),MIN(4,tanultAfTSZ)),0)),"00")&amp;"01"</f>
        <v>000001</v>
      </c>
      <c r="AP32" s="33">
        <v>0</v>
      </c>
      <c r="AQ32" s="56"/>
      <c r="AR32" s="56">
        <v>20</v>
      </c>
      <c r="AS32" s="56">
        <v>10</v>
      </c>
      <c r="AT32" s="56"/>
      <c r="AU32" s="56"/>
      <c r="AV32" s="56"/>
      <c r="AW32" s="56"/>
      <c r="AX32" s="56"/>
      <c r="AY32" s="56"/>
      <c r="AZ32" s="56"/>
      <c r="BA32" s="117">
        <f>165001+MAX(0,váltás_kezdet-13)*50000</f>
        <v>165001</v>
      </c>
      <c r="BB32" s="17">
        <f t="shared" si="72"/>
        <v>16</v>
      </c>
      <c r="BC32" s="17">
        <f t="shared" si="73"/>
        <v>13</v>
      </c>
      <c r="BD32" s="17">
        <f t="shared" si="74"/>
        <v>13</v>
      </c>
      <c r="BE32" s="17">
        <f t="shared" si="75"/>
        <v>14</v>
      </c>
      <c r="BF32" s="116">
        <f t="shared" si="76"/>
        <v>16</v>
      </c>
      <c r="BG32" s="116">
        <f t="shared" si="5"/>
        <v>16</v>
      </c>
      <c r="BH32" s="17">
        <f t="shared" si="77"/>
        <v>14</v>
      </c>
      <c r="BI32" s="17">
        <f t="shared" si="78"/>
        <v>14</v>
      </c>
      <c r="BJ32" s="17">
        <f t="shared" si="79"/>
        <v>16</v>
      </c>
      <c r="BK32" s="17">
        <f t="shared" si="80"/>
        <v>14</v>
      </c>
      <c r="BL32" s="17">
        <f t="shared" ref="BL32" si="82">MAX(0,SUM(tulajdonságok)-SUM($BB32:$BK32))</f>
        <v>0</v>
      </c>
      <c r="BM32" s="13">
        <f t="shared" si="81"/>
        <v>0</v>
      </c>
      <c r="BN32" s="12" t="s">
        <v>262</v>
      </c>
      <c r="BO32" s="12" t="s">
        <v>262</v>
      </c>
      <c r="BP32" s="12" t="s">
        <v>262</v>
      </c>
      <c r="BQ32" s="12" t="s">
        <v>262</v>
      </c>
      <c r="BR32" s="12"/>
      <c r="BS32" s="12"/>
      <c r="BT32" s="12"/>
      <c r="BU32" s="12"/>
      <c r="BV32" s="12"/>
      <c r="BW32" s="51"/>
      <c r="BX32" s="12" t="s">
        <v>134</v>
      </c>
      <c r="BY32" s="12" t="s">
        <v>131</v>
      </c>
      <c r="BZ32" s="12" t="s">
        <v>131</v>
      </c>
      <c r="CA32" s="12" t="s">
        <v>132</v>
      </c>
      <c r="CB32" s="12" t="s">
        <v>135</v>
      </c>
      <c r="CC32" s="260" t="s">
        <v>135</v>
      </c>
      <c r="CD32" s="260" t="s">
        <v>132</v>
      </c>
      <c r="CE32" s="260" t="s">
        <v>132</v>
      </c>
      <c r="CF32" s="260" t="s">
        <v>134</v>
      </c>
      <c r="CG32" s="260" t="s">
        <v>132</v>
      </c>
      <c r="CH32" s="247">
        <v>3</v>
      </c>
      <c r="CI32" s="10">
        <v>6</v>
      </c>
      <c r="CJ32" s="148"/>
      <c r="CK32" s="63"/>
    </row>
    <row r="33" spans="1:89">
      <c r="A33" s="15" t="s">
        <v>279</v>
      </c>
      <c r="B33" s="52"/>
      <c r="C33" s="14">
        <v>2</v>
      </c>
      <c r="D33" s="14"/>
      <c r="E33" s="14"/>
      <c r="F33" s="14">
        <v>1</v>
      </c>
      <c r="G33" s="14">
        <v>2</v>
      </c>
      <c r="H33" s="14">
        <v>-3</v>
      </c>
      <c r="I33" s="14">
        <v>-1</v>
      </c>
      <c r="J33" s="14">
        <v>-3</v>
      </c>
      <c r="K33" s="16"/>
      <c r="L33" s="10" t="s">
        <v>1253</v>
      </c>
      <c r="M33" s="33">
        <v>0</v>
      </c>
      <c r="N33" s="33">
        <v>101</v>
      </c>
      <c r="O33" s="33">
        <v>203</v>
      </c>
      <c r="P33" s="33">
        <v>661</v>
      </c>
      <c r="Q33" s="33">
        <v>1301</v>
      </c>
      <c r="R33" s="33">
        <v>2601</v>
      </c>
      <c r="S33" s="33">
        <v>5001</v>
      </c>
      <c r="T33" s="33">
        <v>9001</v>
      </c>
      <c r="U33" s="33">
        <v>23001</v>
      </c>
      <c r="V33" s="33">
        <v>50001</v>
      </c>
      <c r="W33" s="33">
        <v>90001</v>
      </c>
      <c r="X33" s="33">
        <v>130001</v>
      </c>
      <c r="Y33" s="34">
        <f>165001+MAX(0,SUMIFS(INDEX(választott_kasztok,,10),INDEX(választott_kasztok,,1),$L33)-13)*50000</f>
        <v>165001</v>
      </c>
      <c r="Z33" s="37">
        <f>IF(SUMIFS(INDEX(választott_kasztok,,10),INDEX(választott_kasztok,,1),$L33)&gt;3,8+MIN(3,SUMIFS(INDEX(választott_kasztok,,10),INDEX(választott_kasztok,,1),$L33)),0)</f>
        <v>0</v>
      </c>
      <c r="AA33" s="10">
        <f>IF(SUMIFS(INDEX(választott_kasztok,,10),INDEX(választott_kasztok,,1),$L33)&gt;3,17,0)</f>
        <v>0</v>
      </c>
      <c r="AB33" s="10">
        <f>IF(SUMIFS(INDEX(választott_kasztok,,10),INDEX(választott_kasztok,,1),$L33)&gt;3,72,0)</f>
        <v>0</v>
      </c>
      <c r="AC33" s="10">
        <f>IF(SUMIFS(INDEX(választott_kasztok,,10),INDEX(választott_kasztok,,1),$L33)&gt;3,10,0)</f>
        <v>0</v>
      </c>
      <c r="AD33" s="249">
        <f>IF(SUMIFS(INDEX(választott_kasztok,,10),INDEX(választott_kasztok,,1),$L33)&gt;3,MAX(6,MIN(3,SUMIFS(INDEX(választott_kasztok,,10),INDEX(választott_kasztok,,1),$L33))*6+MAX(0,SUMIFS(INDEX(választott_kasztok,,10),INDEX(választott_kasztok,,1),$L33)-3)*8),0)</f>
        <v>0</v>
      </c>
      <c r="AE33" s="247">
        <f>IF(SUMIFS(INDEX(választott_kasztok,,10),INDEX(választott_kasztok,,1),$L33)&gt;3,MAX(1,MIN(3,SUMIFS(INDEX(választott_kasztok,,10),INDEX(választott_kasztok,,1),$L33))*1+MAX(0,SUMIFS(INDEX(választott_kasztok,,10),INDEX(választott_kasztok,,1),$L33)-3)*3),0)</f>
        <v>0</v>
      </c>
      <c r="AF33" s="247">
        <f>IF(SUMIFS(INDEX(választott_kasztok,,10),INDEX(választott_kasztok,,1),$L33)&gt;3,MAX(1,MIN(3,SUMIFS(INDEX(választott_kasztok,,10),INDEX(választott_kasztok,,1),$L33))*1+MAX(0,SUMIFS(INDEX(választott_kasztok,,10),INDEX(választott_kasztok,,1),$L33)-3)*3),0)</f>
        <v>0</v>
      </c>
      <c r="AG33" s="20">
        <f>IF(SUMIFS(INDEX(választott_kasztok,,10),INDEX(választott_kasztok,,1),$L33)&gt;3,IF(AND(többes_kaszt=iker_kaszt,váltás_kezdet=0,váltás_kezdet&lt;&gt;""),0,8),0)</f>
        <v>0</v>
      </c>
      <c r="AH33" s="250">
        <f>IF(SUMIFS(INDEX(választott_kasztok,,10),INDEX(választott_kasztok,,1),$L33)&gt;3,3*(10-12)-(MIN(1,SUMIFS(INDEX(választott_kasztok,,10),INDEX(választott_kasztok,,1),$L33)-3)*12)+MAX(10,IF(választott_kaszt_1=$L33,IF(váltás_kezdet="",VLOOKUP($L33,választott_kasztok,10,FALSE)*12,MIN(VLOOKUP($L33,választott_kasztok,10,FALSE),váltás_kezdet)*12+IF(többes_kaszt=iker_kaszt,MAX(0,VLOOKUP($L33,választott_kasztok,10,FALSE)-váltás_kezdet),0)+IF(többes_kaszt=váltott_kaszt,MAX(0,váltás_kezdet-VLOOKUP($L33,választott_kasztok,10,FALSE))*12)),0)+IF(választott_kaszt_2=$L33,VLOOKUP($L33,választott_kasztok,10,FALSE)*IF(többes_kaszt=iker_kaszt,1,12),0)),0)</f>
        <v>0</v>
      </c>
      <c r="AI33" s="10">
        <f>IF(SUMIFS(INDEX(választott_kasztok,,10),INDEX(választott_kasztok,,1),$L33)&gt;3,MAX(62,IF(AND(többes_kaszt=váltott_kaszt,választott_kaszt_1=$L33),MIN(3,váltás_kezdet)*62,MIN(3,SUMIFS(INDEX(választott_kasztok,,10),INDEX(választott_kasztok,,1),$L33))*62)),0)</f>
        <v>0</v>
      </c>
      <c r="AJ33" s="10">
        <f>IF(SUMIFS(INDEX(választott_kasztok,,10),INDEX(választott_kasztok,,1),$L33)&gt;3,4,0)</f>
        <v>0</v>
      </c>
      <c r="AK33" s="247">
        <f>IF(SUMIFS(INDEX(választott_kasztok,,10),INDEX(választott_kasztok,,1),$L33)&gt;3,5,0)</f>
        <v>0</v>
      </c>
      <c r="AL33" s="247">
        <f>IF(SUMIFS(INDEX(választott_kasztok,,10),INDEX(választott_kasztok,,1),$L33)&gt;3,MAX(1,SUMIFS(INDEX(választott_kasztok,,10),INDEX(választott_kasztok,,1),$L33))*(k6dobás+3)-(3*1),0)</f>
        <v>0</v>
      </c>
      <c r="AM33" s="10">
        <f>MAX(9,MIN(1,(SUMIFS(INDEX(választott_kasztok,,10),INDEX(választott_kasztok,,1),$L33)-3))*9+MAX(0,SUMIFS(INDEX(választott_kasztok,,10),INDEX(választott_kasztok,,1),$L33)-(1+3))*(6+ROUNDUP(k6dobás/2,0)))</f>
        <v>9</v>
      </c>
      <c r="AN33" s="20" t="str">
        <f>IF(OR(SUMIFS(INDEX(választott_kasztok,,10),INDEX(választott_kasztok,,1),$L33)&gt;3,tanultAfTSZ&gt;0,tanultMfTSZ&gt;0),pyarroni,nincsen)</f>
        <v>nincs</v>
      </c>
      <c r="AO33" s="209" t="str">
        <f>TEXT(IF(tanultMfkaszt=0,IF(SUMIFS(INDEX(választott_kasztok,,10),INDEX(választott_kasztok,,1),$L33)&lt;4,0,4),IF(INDEX(választott_kasztok,tanultMfkaszt,1)=$L33,IF(OR(tanultMfTSZ=0,tanultMfTSZ&gt;MIN(4,SUMIFS(INDEX(választott_kasztok,,10),INDEX(választott_kasztok,,1),$L33))),IF(SUMIFS(INDEX(választott_kasztok,,10),INDEX(választott_kasztok,,1),$L33)&lt;4,0,4),MIN(4,tanultMfTSZ)),0)),"00")&amp;TEXT(IF(tanultAfkaszt=0,IF(SUMIFS(INDEX(választott_kasztok,,10),INDEX(választott_kasztok,,1),$L33)&lt;4,0,4),IF(INDEX(választott_kasztok,tanultAfkaszt,1)=$L33,IF(OR(tanultAfTSZ=0,tanultAfTSZ&gt;MIN(4,SUMIFS(INDEX(választott_kasztok,,10),INDEX(választott_kasztok,,1),$L33))),IF(SUMIFS(INDEX(választott_kasztok,,10),INDEX(választott_kasztok,,1),$L33)&lt;4,0,4),MIN(4,tanultAfTSZ)),0)),"00")&amp;"01"</f>
        <v>000001</v>
      </c>
      <c r="AP33" s="33">
        <v>0</v>
      </c>
      <c r="AQ33" s="56">
        <v>45</v>
      </c>
      <c r="AR33" s="56">
        <v>15</v>
      </c>
      <c r="AS33" s="56">
        <v>10</v>
      </c>
      <c r="AT33" s="56">
        <v>30</v>
      </c>
      <c r="AU33" s="56">
        <v>15</v>
      </c>
      <c r="AV33" s="56">
        <v>25</v>
      </c>
      <c r="AW33" s="56">
        <v>35</v>
      </c>
      <c r="AX33" s="56">
        <v>25</v>
      </c>
      <c r="AY33" s="56">
        <v>25</v>
      </c>
      <c r="AZ33" s="56">
        <v>15</v>
      </c>
      <c r="BA33" s="117">
        <f>165001+MAX(0,váltás_kezdet-13)*50000</f>
        <v>165001</v>
      </c>
      <c r="BB33" s="17">
        <f t="shared" si="72"/>
        <v>13</v>
      </c>
      <c r="BC33" s="17">
        <f t="shared" si="73"/>
        <v>14</v>
      </c>
      <c r="BD33" s="17">
        <f t="shared" si="74"/>
        <v>16</v>
      </c>
      <c r="BE33" s="17">
        <f t="shared" si="75"/>
        <v>13</v>
      </c>
      <c r="BF33" s="17">
        <f t="shared" si="76"/>
        <v>14</v>
      </c>
      <c r="BG33" s="116">
        <f t="shared" si="5"/>
        <v>16</v>
      </c>
      <c r="BH33" s="17">
        <f t="shared" si="77"/>
        <v>14</v>
      </c>
      <c r="BI33" s="17">
        <f t="shared" si="78"/>
        <v>14</v>
      </c>
      <c r="BJ33" s="17">
        <f t="shared" si="79"/>
        <v>16</v>
      </c>
      <c r="BK33" s="17">
        <f t="shared" si="80"/>
        <v>16</v>
      </c>
      <c r="BL33" s="17">
        <f t="shared" ref="BL33" si="83">MAX(0,SUM(tulajdonságok)-SUM($BB33:$BK33))</f>
        <v>0</v>
      </c>
      <c r="BM33" s="13">
        <f t="shared" si="81"/>
        <v>0</v>
      </c>
      <c r="BN33" s="12"/>
      <c r="BO33" s="12" t="s">
        <v>262</v>
      </c>
      <c r="BP33" s="12" t="s">
        <v>262</v>
      </c>
      <c r="BQ33" s="12"/>
      <c r="BR33" s="12"/>
      <c r="BS33" s="12"/>
      <c r="BT33" s="12"/>
      <c r="BU33" s="12"/>
      <c r="BV33" s="12"/>
      <c r="BW33" s="51"/>
      <c r="BX33" s="260" t="s">
        <v>131</v>
      </c>
      <c r="BY33" s="12" t="s">
        <v>132</v>
      </c>
      <c r="BZ33" s="12" t="s">
        <v>134</v>
      </c>
      <c r="CA33" s="260" t="s">
        <v>131</v>
      </c>
      <c r="CB33" s="260" t="s">
        <v>132</v>
      </c>
      <c r="CC33" s="260" t="s">
        <v>135</v>
      </c>
      <c r="CD33" s="260" t="s">
        <v>132</v>
      </c>
      <c r="CE33" s="260" t="s">
        <v>132</v>
      </c>
      <c r="CF33" s="260" t="s">
        <v>134</v>
      </c>
      <c r="CG33" s="12" t="s">
        <v>134</v>
      </c>
      <c r="CH33" s="247">
        <v>3</v>
      </c>
      <c r="CI33" s="10">
        <v>6</v>
      </c>
      <c r="CJ33" s="148"/>
      <c r="CK33" s="63"/>
    </row>
    <row r="34" spans="1:89">
      <c r="A34" s="15" t="s">
        <v>281</v>
      </c>
      <c r="B34" s="52"/>
      <c r="C34" s="14"/>
      <c r="D34" s="14"/>
      <c r="E34" s="14"/>
      <c r="F34" s="14"/>
      <c r="G34" s="14"/>
      <c r="H34" s="14">
        <v>1</v>
      </c>
      <c r="I34" s="14">
        <v>1</v>
      </c>
      <c r="J34" s="14"/>
      <c r="K34" s="16"/>
      <c r="L34" s="20" t="s">
        <v>290</v>
      </c>
      <c r="M34" s="34">
        <v>0</v>
      </c>
      <c r="N34" s="34">
        <v>176</v>
      </c>
      <c r="O34" s="34">
        <v>353</v>
      </c>
      <c r="P34" s="34">
        <v>721</v>
      </c>
      <c r="Q34" s="34">
        <v>1501</v>
      </c>
      <c r="R34" s="34">
        <v>3501</v>
      </c>
      <c r="S34" s="34">
        <v>7001</v>
      </c>
      <c r="T34" s="34">
        <v>10501</v>
      </c>
      <c r="U34" s="34">
        <v>21001</v>
      </c>
      <c r="V34" s="34">
        <v>48001</v>
      </c>
      <c r="W34" s="34">
        <v>78001</v>
      </c>
      <c r="X34" s="34">
        <v>108001</v>
      </c>
      <c r="Y34" s="34">
        <f>138001+MAX(0,SUMIFS(INDEX(választott_kasztok,,10),INDEX(választott_kasztok,,1),$L34)-13)*38000</f>
        <v>138001</v>
      </c>
      <c r="Z34" s="20">
        <v>8</v>
      </c>
      <c r="AA34" s="20">
        <v>18</v>
      </c>
      <c r="AB34" s="20">
        <v>73</v>
      </c>
      <c r="AC34" s="20">
        <v>5</v>
      </c>
      <c r="AD34" s="10">
        <f>MAX(9,SUMIFS(INDEX(választott_kasztok,,10),INDEX(választott_kasztok,,1),$L34)*9)</f>
        <v>9</v>
      </c>
      <c r="AE34" s="10">
        <f t="shared" si="71"/>
        <v>3</v>
      </c>
      <c r="AF34" s="10">
        <f t="shared" si="71"/>
        <v>3</v>
      </c>
      <c r="AG34" s="20">
        <f>IF(AND(többes_kaszt=iker_kaszt,váltás_kezdet=0,váltás_kezdet&lt;&gt;""),0,2)</f>
        <v>2</v>
      </c>
      <c r="AH34" s="10">
        <f>MAX(0,IF(választott_kaszt_1=$L34,IF(váltás_kezdet="",VLOOKUP($L34,választott_kasztok,10,FALSE)*6,MIN(VLOOKUP($L34,választott_kasztok,10,FALSE),váltás_kezdet)*6+IF(többes_kaszt=iker_kaszt,MAX(0,VLOOKUP($L34,választott_kasztok,10,FALSE)-váltás_kezdet),0)+IF(többes_kaszt=váltott_kaszt,MAX(0,váltás_kezdet-VLOOKUP($L34,választott_kasztok,10,FALSE))*6)),0)+IF(választott_kaszt_2=$L34,VLOOKUP($L34,választott_kasztok,10,FALSE)*IF(többes_kaszt=iker_kaszt,1,6),0))</f>
        <v>0</v>
      </c>
      <c r="AI34" s="20">
        <v>0</v>
      </c>
      <c r="AJ34" s="20">
        <v>5</v>
      </c>
      <c r="AK34" s="20">
        <v>6</v>
      </c>
      <c r="AL34" s="10">
        <f>MAX(1,SUMIFS(INDEX(választott_kasztok,,10),INDEX(választott_kasztok,,1),$L34))*(k6dobás+4)</f>
        <v>10</v>
      </c>
      <c r="AM34" s="10">
        <f t="shared" ref="AM34:AM40" si="84">MAX(9,MIN(1,SUMIFS(INDEX(választott_kasztok,,10),INDEX(választott_kasztok,,1),$L34))*9+MAX(0,SUMIFS(INDEX(választott_kasztok,,10),INDEX(választott_kasztok,,1),$L34)-1)*(6+ROUNDUP(k6dobás/2,0)))</f>
        <v>9</v>
      </c>
      <c r="AN34" s="20" t="s">
        <v>1183</v>
      </c>
      <c r="AO34" s="209"/>
      <c r="AP34" s="34">
        <v>0</v>
      </c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117">
        <f>138001+MAX(0,váltás_kezdet-13)*38000</f>
        <v>138001</v>
      </c>
      <c r="BB34" s="17">
        <f t="shared" si="0"/>
        <v>14</v>
      </c>
      <c r="BC34" s="17">
        <f t="shared" si="1"/>
        <v>11</v>
      </c>
      <c r="BD34" s="17">
        <f t="shared" si="2"/>
        <v>11</v>
      </c>
      <c r="BE34" s="17">
        <f t="shared" si="3"/>
        <v>14</v>
      </c>
      <c r="BF34" s="116">
        <f t="shared" si="4"/>
        <v>16</v>
      </c>
      <c r="BG34" s="17">
        <f t="shared" si="5"/>
        <v>14</v>
      </c>
      <c r="BH34" s="17">
        <f t="shared" si="6"/>
        <v>13</v>
      </c>
      <c r="BI34" s="17">
        <f t="shared" si="7"/>
        <v>14</v>
      </c>
      <c r="BJ34" s="17">
        <f t="shared" si="8"/>
        <v>16</v>
      </c>
      <c r="BK34" s="17">
        <f t="shared" si="9"/>
        <v>14</v>
      </c>
      <c r="BL34" s="17">
        <f t="shared" si="10"/>
        <v>0</v>
      </c>
      <c r="BM34" s="13">
        <f t="shared" si="11"/>
        <v>0</v>
      </c>
      <c r="BN34" s="12" t="s">
        <v>262</v>
      </c>
      <c r="BO34" s="12"/>
      <c r="BP34" s="12"/>
      <c r="BQ34" s="12"/>
      <c r="BR34" s="12"/>
      <c r="BS34" s="12"/>
      <c r="BT34" s="12"/>
      <c r="BU34" s="12"/>
      <c r="BV34" s="12"/>
      <c r="BW34" s="51"/>
      <c r="BX34" s="12" t="s">
        <v>132</v>
      </c>
      <c r="BY34" s="12" t="s">
        <v>129</v>
      </c>
      <c r="BZ34" s="12" t="s">
        <v>129</v>
      </c>
      <c r="CA34" s="12" t="s">
        <v>132</v>
      </c>
      <c r="CB34" s="12" t="s">
        <v>135</v>
      </c>
      <c r="CC34" s="12" t="s">
        <v>132</v>
      </c>
      <c r="CD34" s="12" t="s">
        <v>131</v>
      </c>
      <c r="CE34" s="12" t="s">
        <v>132</v>
      </c>
      <c r="CF34" s="12" t="s">
        <v>134</v>
      </c>
      <c r="CG34" s="12" t="s">
        <v>132</v>
      </c>
      <c r="CH34" s="10">
        <v>3</v>
      </c>
      <c r="CI34" s="10">
        <v>6</v>
      </c>
      <c r="CJ34" s="148"/>
      <c r="CK34" s="63"/>
    </row>
    <row r="35" spans="1:89" ht="15.75" thickBot="1">
      <c r="A35" s="284" t="str">
        <f>IF(választott_korketegória="","nincs választva",választott_korketegória&amp;". "&amp;VLOOKUP(választott_korketegória,korleírás,2,FALSE))</f>
        <v>nincs választva</v>
      </c>
      <c r="B35" s="18">
        <f t="shared" ref="B35:K35" si="85">SUMIFS(INDEX(kormódosítók,,COLUMN()),INDEX(kormódosítók,,1),választott_korketegória)</f>
        <v>0</v>
      </c>
      <c r="C35" s="18">
        <f t="shared" si="85"/>
        <v>0</v>
      </c>
      <c r="D35" s="18">
        <f t="shared" si="85"/>
        <v>0</v>
      </c>
      <c r="E35" s="18">
        <f t="shared" si="85"/>
        <v>0</v>
      </c>
      <c r="F35" s="18">
        <f t="shared" si="85"/>
        <v>0</v>
      </c>
      <c r="G35" s="18">
        <f t="shared" si="85"/>
        <v>0</v>
      </c>
      <c r="H35" s="18">
        <f t="shared" si="85"/>
        <v>0</v>
      </c>
      <c r="I35" s="18">
        <f t="shared" si="85"/>
        <v>0</v>
      </c>
      <c r="J35" s="18">
        <f t="shared" si="85"/>
        <v>0</v>
      </c>
      <c r="K35" s="48">
        <f t="shared" si="85"/>
        <v>0</v>
      </c>
      <c r="L35" s="10" t="s">
        <v>291</v>
      </c>
      <c r="M35" s="34">
        <v>0</v>
      </c>
      <c r="N35" s="34">
        <v>161</v>
      </c>
      <c r="O35" s="34">
        <v>331</v>
      </c>
      <c r="P35" s="34">
        <v>661</v>
      </c>
      <c r="Q35" s="34">
        <v>1301</v>
      </c>
      <c r="R35" s="34">
        <v>2601</v>
      </c>
      <c r="S35" s="34">
        <v>5001</v>
      </c>
      <c r="T35" s="34">
        <v>9001</v>
      </c>
      <c r="U35" s="34">
        <v>23001</v>
      </c>
      <c r="V35" s="34">
        <v>50001</v>
      </c>
      <c r="W35" s="34">
        <v>90001</v>
      </c>
      <c r="X35" s="34">
        <v>130001</v>
      </c>
      <c r="Y35" s="34">
        <f>165001+MAX(0,SUMIFS(INDEX(választott_kasztok,,10),INDEX(választott_kasztok,,1),$L35)-13)*50000</f>
        <v>165001</v>
      </c>
      <c r="Z35" s="20">
        <v>5</v>
      </c>
      <c r="AA35" s="20">
        <v>17</v>
      </c>
      <c r="AB35" s="20">
        <v>72</v>
      </c>
      <c r="AC35" s="20">
        <v>0</v>
      </c>
      <c r="AD35" s="10">
        <f>MAX(8,SUMIFS(INDEX(választott_kasztok,,10),INDEX(választott_kasztok,,1),$L35)*8)</f>
        <v>8</v>
      </c>
      <c r="AE35" s="10">
        <f t="shared" si="71"/>
        <v>3</v>
      </c>
      <c r="AF35" s="10">
        <f t="shared" si="71"/>
        <v>3</v>
      </c>
      <c r="AG35" s="20">
        <f>IF(AND(többes_kaszt=iker_kaszt,váltás_kezdet=0,váltás_kezdet&lt;&gt;""),0,6)</f>
        <v>6</v>
      </c>
      <c r="AH35" s="10">
        <f>MAX(0,IF(választott_kaszt_1=$L35,IF(váltás_kezdet="",VLOOKUP($L35,választott_kasztok,10,FALSE)*10,MIN(VLOOKUP($L35,választott_kasztok,10,FALSE),váltás_kezdet)*10+IF(többes_kaszt=iker_kaszt,MAX(0,VLOOKUP($L35,választott_kasztok,10,FALSE)-váltás_kezdet),0)+IF(többes_kaszt=váltott_kaszt,MAX(0,váltás_kezdet-VLOOKUP($L35,választott_kasztok,10,FALSE))*10)),0)+IF(választott_kaszt_2=$L35,VLOOKUP($L35,választott_kasztok,10,FALSE)*IF(többes_kaszt=iker_kaszt,1,10),0))</f>
        <v>0</v>
      </c>
      <c r="AI35" s="20">
        <v>0</v>
      </c>
      <c r="AJ35" s="20">
        <v>6</v>
      </c>
      <c r="AK35" s="20">
        <v>6</v>
      </c>
      <c r="AL35" s="10">
        <f>MAX(1,SUMIFS(INDEX(választott_kasztok,,10),INDEX(választott_kasztok,,1),$L35))*(k6dobás+2)</f>
        <v>8</v>
      </c>
      <c r="AM35" s="10">
        <f t="shared" si="84"/>
        <v>9</v>
      </c>
      <c r="AN35" s="20" t="s">
        <v>1183</v>
      </c>
      <c r="AO35" s="209"/>
      <c r="AP35" s="34">
        <v>0</v>
      </c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117">
        <f>165001+MAX(0,váltás_kezdet-13)*50000</f>
        <v>165001</v>
      </c>
      <c r="BB35" s="17">
        <f t="shared" si="0"/>
        <v>13</v>
      </c>
      <c r="BC35" s="17">
        <f t="shared" si="1"/>
        <v>11</v>
      </c>
      <c r="BD35" s="17">
        <f t="shared" si="2"/>
        <v>11</v>
      </c>
      <c r="BE35" s="17">
        <f t="shared" si="3"/>
        <v>13</v>
      </c>
      <c r="BF35" s="17">
        <f t="shared" si="4"/>
        <v>14</v>
      </c>
      <c r="BG35" s="116">
        <f t="shared" si="5"/>
        <v>16</v>
      </c>
      <c r="BH35" s="17">
        <f t="shared" si="6"/>
        <v>14</v>
      </c>
      <c r="BI35" s="17">
        <f t="shared" si="7"/>
        <v>14</v>
      </c>
      <c r="BJ35" s="17">
        <f t="shared" si="8"/>
        <v>16</v>
      </c>
      <c r="BK35" s="17">
        <f t="shared" si="9"/>
        <v>14</v>
      </c>
      <c r="BL35" s="17">
        <f t="shared" si="10"/>
        <v>0</v>
      </c>
      <c r="BM35" s="13">
        <f t="shared" si="11"/>
        <v>0</v>
      </c>
      <c r="BN35" s="12"/>
      <c r="BO35" s="12"/>
      <c r="BP35" s="12"/>
      <c r="BQ35" s="12"/>
      <c r="BR35" s="12"/>
      <c r="BS35" s="12"/>
      <c r="BT35" s="12"/>
      <c r="BU35" s="12" t="s">
        <v>262</v>
      </c>
      <c r="BV35" s="12" t="s">
        <v>262</v>
      </c>
      <c r="BW35" s="51"/>
      <c r="BX35" s="12" t="s">
        <v>131</v>
      </c>
      <c r="BY35" s="12" t="s">
        <v>129</v>
      </c>
      <c r="BZ35" s="12" t="s">
        <v>129</v>
      </c>
      <c r="CA35" s="12" t="s">
        <v>131</v>
      </c>
      <c r="CB35" s="12" t="s">
        <v>132</v>
      </c>
      <c r="CC35" s="12" t="s">
        <v>135</v>
      </c>
      <c r="CD35" s="12" t="s">
        <v>132</v>
      </c>
      <c r="CE35" s="12" t="s">
        <v>132</v>
      </c>
      <c r="CF35" s="12" t="s">
        <v>134</v>
      </c>
      <c r="CG35" s="12" t="s">
        <v>132</v>
      </c>
      <c r="CH35" s="10">
        <v>3</v>
      </c>
      <c r="CI35" s="10">
        <v>6</v>
      </c>
      <c r="CJ35" s="148"/>
      <c r="CK35" s="63"/>
    </row>
    <row r="36" spans="1:89" ht="15.75">
      <c r="A36" s="53"/>
      <c r="B36" s="280" t="s">
        <v>121</v>
      </c>
      <c r="C36" s="280" t="s">
        <v>112</v>
      </c>
      <c r="D36" s="280" t="s">
        <v>113</v>
      </c>
      <c r="E36" s="280" t="s">
        <v>114</v>
      </c>
      <c r="F36" s="280" t="s">
        <v>115</v>
      </c>
      <c r="G36" s="280" t="s">
        <v>116</v>
      </c>
      <c r="H36" s="280" t="s">
        <v>117</v>
      </c>
      <c r="I36" s="280" t="s">
        <v>118</v>
      </c>
      <c r="J36" s="280" t="s">
        <v>120</v>
      </c>
      <c r="K36" s="271" t="s">
        <v>119</v>
      </c>
      <c r="L36" s="20" t="s">
        <v>292</v>
      </c>
      <c r="M36" s="34">
        <v>0</v>
      </c>
      <c r="N36" s="34">
        <v>176</v>
      </c>
      <c r="O36" s="34">
        <v>353</v>
      </c>
      <c r="P36" s="34">
        <v>721</v>
      </c>
      <c r="Q36" s="34">
        <v>1501</v>
      </c>
      <c r="R36" s="34">
        <v>3501</v>
      </c>
      <c r="S36" s="34">
        <v>7001</v>
      </c>
      <c r="T36" s="34">
        <v>10501</v>
      </c>
      <c r="U36" s="34">
        <v>21001</v>
      </c>
      <c r="V36" s="34">
        <v>48001</v>
      </c>
      <c r="W36" s="34">
        <v>78001</v>
      </c>
      <c r="X36" s="34">
        <v>108001</v>
      </c>
      <c r="Y36" s="34">
        <f>138001+MAX(0,SUMIFS(INDEX(választott_kasztok,,10),INDEX(választott_kasztok,,1),$L36)-13)*38000</f>
        <v>138001</v>
      </c>
      <c r="Z36" s="20">
        <v>5</v>
      </c>
      <c r="AA36" s="20">
        <v>20</v>
      </c>
      <c r="AB36" s="20">
        <v>75</v>
      </c>
      <c r="AC36" s="20">
        <v>0</v>
      </c>
      <c r="AD36" s="10">
        <f>MAX(9,SUMIFS(INDEX(választott_kasztok,,10),INDEX(választott_kasztok,,1),$L36)*9)</f>
        <v>9</v>
      </c>
      <c r="AE36" s="10">
        <f t="shared" si="71"/>
        <v>3</v>
      </c>
      <c r="AF36" s="10">
        <f t="shared" si="71"/>
        <v>3</v>
      </c>
      <c r="AG36" s="20">
        <f>IF(AND(többes_kaszt=iker_kaszt,váltás_kezdet=0,váltás_kezdet&lt;&gt;""),0,5)</f>
        <v>5</v>
      </c>
      <c r="AH36" s="10">
        <f>MAX(0,IF(választott_kaszt_1=$L36,IF(váltás_kezdet="",VLOOKUP($L36,választott_kasztok,10,FALSE)*5,MIN(VLOOKUP($L36,választott_kasztok,10,FALSE),váltás_kezdet)*5+IF(többes_kaszt=iker_kaszt,MAX(0,VLOOKUP($L36,választott_kasztok,10,FALSE)-váltás_kezdet),0)+IF(többes_kaszt=váltott_kaszt,MAX(0,váltás_kezdet-VLOOKUP($L36,választott_kasztok,10,FALSE))*5)),0)+IF(választott_kaszt_2=$L36,VLOOKUP($L36,választott_kasztok,10,FALSE)*IF(többes_kaszt=iker_kaszt,1,5),0))</f>
        <v>0</v>
      </c>
      <c r="AI36" s="20">
        <v>0</v>
      </c>
      <c r="AJ36" s="20">
        <v>8</v>
      </c>
      <c r="AK36" s="20">
        <v>7</v>
      </c>
      <c r="AL36" s="10">
        <f>MAX(1,SUMIFS(INDEX(választott_kasztok,,10),INDEX(választott_kasztok,,1),$L36))*(k6dobás+5)</f>
        <v>11</v>
      </c>
      <c r="AM36" s="10">
        <f t="shared" si="84"/>
        <v>9</v>
      </c>
      <c r="AN36" s="20" t="s">
        <v>1183</v>
      </c>
      <c r="AO36" s="209"/>
      <c r="AP36" s="34">
        <v>0</v>
      </c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117">
        <f>138001+MAX(0,váltás_kezdet-13)*38000</f>
        <v>138001</v>
      </c>
      <c r="BB36" s="17">
        <f t="shared" si="0"/>
        <v>14</v>
      </c>
      <c r="BC36" s="17">
        <f t="shared" si="1"/>
        <v>11</v>
      </c>
      <c r="BD36" s="17">
        <f t="shared" si="2"/>
        <v>11</v>
      </c>
      <c r="BE36" s="17">
        <f t="shared" si="3"/>
        <v>14</v>
      </c>
      <c r="BF36" s="116">
        <f t="shared" si="4"/>
        <v>16</v>
      </c>
      <c r="BG36" s="17">
        <f t="shared" si="5"/>
        <v>14</v>
      </c>
      <c r="BH36" s="17">
        <f t="shared" si="6"/>
        <v>13</v>
      </c>
      <c r="BI36" s="17">
        <f t="shared" si="7"/>
        <v>14</v>
      </c>
      <c r="BJ36" s="17">
        <f t="shared" si="8"/>
        <v>16</v>
      </c>
      <c r="BK36" s="17">
        <f t="shared" si="9"/>
        <v>14</v>
      </c>
      <c r="BL36" s="17">
        <f t="shared" si="10"/>
        <v>0</v>
      </c>
      <c r="BM36" s="13">
        <f t="shared" si="11"/>
        <v>0</v>
      </c>
      <c r="BN36" s="12" t="s">
        <v>262</v>
      </c>
      <c r="BO36" s="12"/>
      <c r="BP36" s="12"/>
      <c r="BQ36" s="12"/>
      <c r="BR36" s="12"/>
      <c r="BS36" s="12"/>
      <c r="BT36" s="12"/>
      <c r="BU36" s="12"/>
      <c r="BV36" s="12"/>
      <c r="BW36" s="51"/>
      <c r="BX36" s="12" t="s">
        <v>132</v>
      </c>
      <c r="BY36" s="12" t="s">
        <v>129</v>
      </c>
      <c r="BZ36" s="12" t="s">
        <v>129</v>
      </c>
      <c r="CA36" s="12" t="s">
        <v>132</v>
      </c>
      <c r="CB36" s="12" t="s">
        <v>135</v>
      </c>
      <c r="CC36" s="12" t="s">
        <v>132</v>
      </c>
      <c r="CD36" s="12" t="s">
        <v>131</v>
      </c>
      <c r="CE36" s="12" t="s">
        <v>132</v>
      </c>
      <c r="CF36" s="12" t="s">
        <v>134</v>
      </c>
      <c r="CG36" s="12" t="s">
        <v>132</v>
      </c>
      <c r="CH36" s="10">
        <v>3</v>
      </c>
      <c r="CI36" s="10">
        <v>6</v>
      </c>
      <c r="CJ36" s="148"/>
      <c r="CK36" s="63"/>
    </row>
    <row r="37" spans="1:89" ht="15.75">
      <c r="A37" s="24" t="s">
        <v>265</v>
      </c>
      <c r="B37" s="14">
        <f>IF(választott_kaszt_1="",0,MAX(1,SUMIFS(INDEX(dobások,,3),INDEX(dobások,,1),VLOOKUP(választott_kaszt_1,kasztok,74,FALSE))+B$35))</f>
        <v>0</v>
      </c>
      <c r="C37" s="14">
        <f>IF(választott_kaszt_1="",0,MAX(1,SUMIFS(INDEX(dobások,,3),INDEX(dobások,,1),VLOOKUP(választott_kaszt_1,kasztok,65,FALSE))+C$35))</f>
        <v>0</v>
      </c>
      <c r="D37" s="14">
        <f>IF(választott_kaszt_1="",0,MAX(1,SUMIFS(INDEX(dobások,,3),INDEX(dobások,,1),VLOOKUP(választott_kaszt_1,kasztok,66,FALSE))+D$35))</f>
        <v>0</v>
      </c>
      <c r="E37" s="14">
        <f>IF(választott_kaszt_1="",0,MAX(1,SUMIFS(INDEX(dobások,,3),INDEX(dobások,,1),VLOOKUP(választott_kaszt_1,kasztok,67,FALSE))+E$35))</f>
        <v>0</v>
      </c>
      <c r="F37" s="14">
        <f>IF(választott_kaszt_1="",0,MAX(1,SUMIFS(INDEX(dobások,,3),INDEX(dobások,,1),VLOOKUP(választott_kaszt_1,kasztok,68,FALSE))+F$35))</f>
        <v>0</v>
      </c>
      <c r="G37" s="14">
        <f>IF(választott_kaszt_1="",0,MAX(1,SUMIFS(INDEX(dobások,,3),INDEX(dobások,,1),VLOOKUP(választott_kaszt_1,kasztok,69,FALSE))+G$35))</f>
        <v>0</v>
      </c>
      <c r="H37" s="14">
        <f>IF(választott_kaszt_1="",0,MAX(1,SUMIFS(INDEX(dobások,,3),INDEX(dobások,,1),VLOOKUP(választott_kaszt_1,kasztok,70,FALSE))+H$35))</f>
        <v>0</v>
      </c>
      <c r="I37" s="14">
        <f>IF(választott_kaszt_1="",0,MAX(1,SUMIFS(INDEX(dobások,,3),INDEX(dobások,,1),VLOOKUP(választott_kaszt_1,kasztok,71,FALSE))+I$35))</f>
        <v>0</v>
      </c>
      <c r="J37" s="14">
        <f>IF(választott_kaszt_1="",0,MAX(1,SUMIFS(INDEX(dobások,,3),INDEX(dobások,,1),VLOOKUP(választott_kaszt_1,kasztok,72,FALSE))+J$35))</f>
        <v>0</v>
      </c>
      <c r="K37" s="16">
        <f>IF(választott_kaszt_1="",0,MAX(1,SUMIFS(INDEX(dobások,,3),INDEX(dobások,,1),VLOOKUP(választott_kaszt_1,kasztok,72,FALSE))+K$35))</f>
        <v>0</v>
      </c>
      <c r="L37" s="10" t="s">
        <v>1265</v>
      </c>
      <c r="M37" s="34">
        <v>0</v>
      </c>
      <c r="N37" s="34">
        <v>161</v>
      </c>
      <c r="O37" s="34">
        <v>331</v>
      </c>
      <c r="P37" s="34">
        <v>661</v>
      </c>
      <c r="Q37" s="34">
        <v>1301</v>
      </c>
      <c r="R37" s="34">
        <v>2601</v>
      </c>
      <c r="S37" s="34">
        <v>5001</v>
      </c>
      <c r="T37" s="34">
        <v>9001</v>
      </c>
      <c r="U37" s="34">
        <v>23001</v>
      </c>
      <c r="V37" s="34">
        <v>50001</v>
      </c>
      <c r="W37" s="34">
        <v>90001</v>
      </c>
      <c r="X37" s="34">
        <v>130001</v>
      </c>
      <c r="Y37" s="34">
        <f>165001+MAX(0,SUMIFS(INDEX(választott_kasztok,,10),INDEX(választott_kasztok,,1),$L37)-13)*50000</f>
        <v>165001</v>
      </c>
      <c r="Z37" s="20">
        <v>5</v>
      </c>
      <c r="AA37" s="20">
        <v>17</v>
      </c>
      <c r="AB37" s="20">
        <v>72</v>
      </c>
      <c r="AC37" s="20">
        <v>0</v>
      </c>
      <c r="AD37" s="10">
        <f>MAX(8,SUMIFS(INDEX(választott_kasztok,,10),INDEX(választott_kasztok,,1),$L37)*8)</f>
        <v>8</v>
      </c>
      <c r="AE37" s="10">
        <f t="shared" si="71"/>
        <v>3</v>
      </c>
      <c r="AF37" s="10">
        <f t="shared" si="71"/>
        <v>3</v>
      </c>
      <c r="AG37" s="20">
        <f>IF(AND(többes_kaszt=iker_kaszt,váltás_kezdet=0,váltás_kezdet&lt;&gt;""),0,6)</f>
        <v>6</v>
      </c>
      <c r="AH37" s="10">
        <f>MAX(0,IF(választott_kaszt_1=$L37,IF(váltás_kezdet="",VLOOKUP($L37,választott_kasztok,10,FALSE)*10,MIN(VLOOKUP($L37,választott_kasztok,10,FALSE),váltás_kezdet)*10+IF(többes_kaszt=iker_kaszt,MAX(0,VLOOKUP($L37,választott_kasztok,10,FALSE)-váltás_kezdet),0)+IF(többes_kaszt=váltott_kaszt,MAX(0,váltás_kezdet-VLOOKUP($L37,választott_kasztok,10,FALSE))*10)),0)+IF(választott_kaszt_2=$L37,VLOOKUP($L37,választott_kasztok,10,FALSE)*IF(többes_kaszt=iker_kaszt,1,10),0))</f>
        <v>0</v>
      </c>
      <c r="AI37" s="20">
        <v>0</v>
      </c>
      <c r="AJ37" s="20">
        <v>6</v>
      </c>
      <c r="AK37" s="20">
        <v>6</v>
      </c>
      <c r="AL37" s="10">
        <f>MAX(1,SUMIFS(INDEX(választott_kasztok,,10),INDEX(választott_kasztok,,1),$L37))*(k6dobás+2)</f>
        <v>8</v>
      </c>
      <c r="AM37" s="10">
        <f t="shared" si="84"/>
        <v>9</v>
      </c>
      <c r="AN37" s="20" t="s">
        <v>1183</v>
      </c>
      <c r="AO37" s="209"/>
      <c r="AP37" s="33">
        <v>0</v>
      </c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117">
        <f>165001+MAX(0,váltás_kezdet-13)*50000</f>
        <v>165001</v>
      </c>
      <c r="BB37" s="17">
        <f t="shared" si="0"/>
        <v>13</v>
      </c>
      <c r="BC37" s="17">
        <f t="shared" si="1"/>
        <v>11</v>
      </c>
      <c r="BD37" s="17">
        <f t="shared" si="2"/>
        <v>11</v>
      </c>
      <c r="BE37" s="17">
        <f t="shared" si="3"/>
        <v>13</v>
      </c>
      <c r="BF37" s="17">
        <f t="shared" si="4"/>
        <v>14</v>
      </c>
      <c r="BG37" s="116">
        <f t="shared" si="5"/>
        <v>16</v>
      </c>
      <c r="BH37" s="17">
        <f t="shared" si="6"/>
        <v>14</v>
      </c>
      <c r="BI37" s="17">
        <f t="shared" si="7"/>
        <v>14</v>
      </c>
      <c r="BJ37" s="17">
        <f t="shared" si="8"/>
        <v>16</v>
      </c>
      <c r="BK37" s="17">
        <f t="shared" si="9"/>
        <v>14</v>
      </c>
      <c r="BL37" s="17">
        <f t="shared" si="10"/>
        <v>0</v>
      </c>
      <c r="BM37" s="13">
        <f t="shared" si="11"/>
        <v>0</v>
      </c>
      <c r="BN37" s="12"/>
      <c r="BO37" s="12"/>
      <c r="BP37" s="12"/>
      <c r="BQ37" s="12"/>
      <c r="BR37" s="12"/>
      <c r="BS37" s="12"/>
      <c r="BT37" s="12"/>
      <c r="BU37" s="12" t="s">
        <v>262</v>
      </c>
      <c r="BV37" s="12" t="s">
        <v>262</v>
      </c>
      <c r="BW37" s="51"/>
      <c r="BX37" s="12" t="s">
        <v>131</v>
      </c>
      <c r="BY37" s="12" t="s">
        <v>129</v>
      </c>
      <c r="BZ37" s="12" t="s">
        <v>129</v>
      </c>
      <c r="CA37" s="12" t="s">
        <v>131</v>
      </c>
      <c r="CB37" s="12" t="s">
        <v>132</v>
      </c>
      <c r="CC37" s="12" t="s">
        <v>135</v>
      </c>
      <c r="CD37" s="12" t="s">
        <v>132</v>
      </c>
      <c r="CE37" s="12" t="s">
        <v>132</v>
      </c>
      <c r="CF37" s="12" t="s">
        <v>134</v>
      </c>
      <c r="CG37" s="12" t="s">
        <v>132</v>
      </c>
      <c r="CH37" s="10">
        <v>3</v>
      </c>
      <c r="CI37" s="10">
        <v>6</v>
      </c>
      <c r="CJ37" s="148"/>
      <c r="CK37" s="63"/>
    </row>
    <row r="38" spans="1:89" ht="16.5" thickBot="1">
      <c r="A38" s="25" t="s">
        <v>261</v>
      </c>
      <c r="B38" s="26">
        <f>IF(választott_kaszt_1="",20,MAX(MAX(SUMIFS(INDEX(dobások,,4),INDEX(dobások,,1),VLOOKUP(választott_kaszt_1,kasztok,74,FALSE)),IF(AND(többes_kaszt=iker_kaszt,váltás_kezdet=1,választott_kaszt_2&lt;&gt;""),SUMIFS(INDEX(dobások,,4),INDEX(dobások,,1),VLOOKUP(választott_kaszt_2,kasztok,74,FALSE)),0))+SUMIFS(INDEX(fajok,,COLUMN()),INDEX(fajok,,1),választott_faj)+IF(VLOOKUP(választott_kaszt_1,kasztok,64,FALSE)="kf",2,0),IF(választott_faj="",20,MAX(B$37,SUMIFS(INDEX(fajiminmax,,COLUMN()),INDEX(fajiminmax,,1),választott_faj)))))+B$35+COUNTIF(INDEX(csillagjegyek,,4),B$36)</f>
        <v>20</v>
      </c>
      <c r="C38" s="26">
        <f>IF(választott_kaszt_1="",20,MAX(MAX(SUMIFS(INDEX(dobások,,4),INDEX(dobások,,1),VLOOKUP(választott_kaszt_1,kasztok,65,FALSE)),IF(AND(többes_kaszt=iker_kaszt,váltás_kezdet=1,választott_kaszt_2&lt;&gt;""),SUMIFS(INDEX(dobások,,4),INDEX(dobások,,1),VLOOKUP(választott_kaszt_2,kasztok,65,FALSE)),0))+SUMIFS(INDEX(fajok,,COLUMN()),INDEX(fajok,,1),választott_faj)+IF(VLOOKUP(választott_kaszt_1,kasztok,55,FALSE)="kf",2,0),IF(választott_faj="",20,MAX(C$37,SUMIFS(INDEX(fajiminmax,,COLUMN()),INDEX(fajiminmax,,1),választott_faj)))))+C$35+COUNTIF(INDEX(csillagjegyek,,4),C$36)</f>
        <v>20</v>
      </c>
      <c r="D38" s="26">
        <f>IF(választott_kaszt_1="",20,MAX(MAX(SUMIFS(INDEX(dobások,,4),INDEX(dobások,,1),VLOOKUP(választott_kaszt_1,kasztok,66,FALSE)),IF(AND(többes_kaszt=iker_kaszt,váltás_kezdet=1,választott_kaszt_2&lt;&gt;""),SUMIFS(INDEX(dobások,,4),INDEX(dobások,,1),VLOOKUP(választott_kaszt_2,kasztok,66,FALSE)),0))+SUMIFS(INDEX(fajok,,COLUMN()),INDEX(fajok,,1),választott_faj)+IF(VLOOKUP(választott_kaszt_1,kasztok,56,FALSE)="kf",2,0),IF(választott_faj="",20,MAX(D$37,SUMIFS(INDEX(fajiminmax,,COLUMN()),INDEX(fajiminmax,,1),választott_faj)))))+D$35+COUNTIF(INDEX(csillagjegyek,,4),D$36)</f>
        <v>20</v>
      </c>
      <c r="E38" s="26">
        <f>IF(választott_kaszt_1="",20,MAX(MAX(SUMIFS(INDEX(dobások,,4),INDEX(dobások,,1),VLOOKUP(választott_kaszt_1,kasztok,67,FALSE)),IF(AND(többes_kaszt=iker_kaszt,váltás_kezdet=1,választott_kaszt_2&lt;&gt;""),SUMIFS(INDEX(dobások,,4),INDEX(dobások,,1),VLOOKUP(választott_kaszt_2,kasztok,67,FALSE)),0))+SUMIFS(INDEX(fajok,,COLUMN()),INDEX(fajok,,1),választott_faj)+IF(VLOOKUP(választott_kaszt_1,kasztok,57,FALSE)="kf",2,0),IF(választott_faj="",20,MAX(E$37,SUMIFS(INDEX(fajiminmax,,COLUMN()),INDEX(fajiminmax,,1),választott_faj)))))+E$35+COUNTIF(INDEX(csillagjegyek,,4),E$36)</f>
        <v>20</v>
      </c>
      <c r="F38" s="26">
        <f>IF(választott_kaszt_1="",20,MAX(MAX(SUMIFS(INDEX(dobások,,4),INDEX(dobások,,1),VLOOKUP(választott_kaszt_1,kasztok,68,FALSE)),IF(AND(többes_kaszt=iker_kaszt,váltás_kezdet=1,választott_kaszt_2&lt;&gt;""),SUMIFS(INDEX(dobások,,4),INDEX(dobások,,1),VLOOKUP(választott_kaszt_2,kasztok,68,FALSE)),0))+SUMIFS(INDEX(fajok,,COLUMN()),INDEX(fajok,,1),választott_faj)+IF(VLOOKUP(választott_kaszt_1,kasztok,58,FALSE)="kf",2,0),IF(választott_faj="",20,MAX(F$37,SUMIFS(INDEX(fajiminmax,,COLUMN()),INDEX(fajiminmax,,1),választott_faj)))))+F$35+COUNTIF(INDEX(csillagjegyek,,4),F$36)</f>
        <v>20</v>
      </c>
      <c r="G38" s="26">
        <f>IF(választott_kaszt_1="",20,MAX(MAX(SUMIFS(INDEX(dobások,,4),INDEX(dobások,,1),VLOOKUP(választott_kaszt_1,kasztok,69,FALSE)),IF(AND(többes_kaszt=iker_kaszt,váltás_kezdet=1,választott_kaszt_2&lt;&gt;""),SUMIFS(INDEX(dobások,,4),INDEX(dobások,,1),VLOOKUP(választott_kaszt_2,kasztok,69,FALSE)),0))+SUMIFS(INDEX(fajok,,COLUMN()),INDEX(fajok,,1),választott_faj)+IF(VLOOKUP(választott_kaszt_1,kasztok,59,FALSE)="kf",2,0),IF(választott_faj="",20,MAX(G$37,SUMIFS(INDEX(fajiminmax,,COLUMN()),INDEX(fajiminmax,,1),választott_faj)))))+G$35+COUNTIF(INDEX(csillagjegyek,,4),G$36)</f>
        <v>20</v>
      </c>
      <c r="H38" s="26">
        <f>IF(választott_kaszt_1="",20,MAX(MAX(SUMIFS(INDEX(dobások,,4),INDEX(dobások,,1),VLOOKUP(választott_kaszt_1,kasztok,70,FALSE)),IF(AND(többes_kaszt=iker_kaszt,váltás_kezdet=1,választott_kaszt_2&lt;&gt;""),SUMIFS(INDEX(dobások,,4),INDEX(dobások,,1),VLOOKUP(választott_kaszt_2,kasztok,70,FALSE)),0))+SUMIFS(INDEX(fajok,,COLUMN()),INDEX(fajok,,1),választott_faj)+IF(VLOOKUP(választott_kaszt_1,kasztok,60,FALSE)="kf",2,0),IF(választott_faj="",20,MAX(H$37,SUMIFS(INDEX(fajiminmax,,COLUMN()),INDEX(fajiminmax,,1),választott_faj)))))+H$35+COUNTIF(INDEX(csillagjegyek,,4),H$36)</f>
        <v>20</v>
      </c>
      <c r="I38" s="26">
        <f>IF(választott_kaszt_1="",20,MAX(MAX(SUMIFS(INDEX(dobások,,4),INDEX(dobások,,1),VLOOKUP(választott_kaszt_1,kasztok,71,FALSE)),IF(AND(többes_kaszt=iker_kaszt,váltás_kezdet=1,választott_kaszt_2&lt;&gt;""),SUMIFS(INDEX(dobások,,4),INDEX(dobások,,1),VLOOKUP(választott_kaszt_2,kasztok,71,FALSE)),0))+SUMIFS(INDEX(fajok,,COLUMN()),INDEX(fajok,,1),választott_faj)+IF(VLOOKUP(választott_kaszt_1,kasztok,61,FALSE)="kf",2,0),IF(választott_faj="",20,MAX(I$37,SUMIFS(INDEX(fajiminmax,,COLUMN()),INDEX(fajiminmax,,1),választott_faj)))))+I$35+COUNTIF(INDEX(csillagjegyek,,4),I$36)</f>
        <v>20</v>
      </c>
      <c r="J38" s="26">
        <f>IF(választott_kaszt_1="",20,MAX(MAX(SUMIFS(INDEX(dobások,,4),INDEX(dobások,,1),VLOOKUP(választott_kaszt_1,kasztok,72,FALSE)),IF(AND(többes_kaszt=iker_kaszt,váltás_kezdet=1,választott_kaszt_2&lt;&gt;""),SUMIFS(INDEX(dobások,,4),INDEX(dobások,,1),VLOOKUP(választott_kaszt_2,kasztok,72,FALSE)),0))+SUMIFS(INDEX(fajok,,COLUMN()),INDEX(fajok,,1),választott_faj)+IF(VLOOKUP(választott_kaszt_1,kasztok,62,FALSE)="kf",2,0),IF(választott_faj="",20,MAX(J$37,SUMIFS(INDEX(fajiminmax,,COLUMN()),INDEX(fajiminmax,,1),választott_faj)))))+J$35+COUNTIF(INDEX(csillagjegyek,,4),J$36)</f>
        <v>20</v>
      </c>
      <c r="K38" s="27">
        <f>IF(választott_kaszt_1="",20,MAX(MAX(SUMIFS(INDEX(dobások,,4),INDEX(dobások,,1),VLOOKUP(választott_kaszt_1,kasztok,73,FALSE)),IF(AND(többes_kaszt=iker_kaszt,váltás_kezdet=1,választott_kaszt_2&lt;&gt;""),SUMIFS(INDEX(dobások,,4),INDEX(dobások,,1),VLOOKUP(választott_kaszt_2,kasztok,73,FALSE)),0))+SUMIFS(INDEX(fajok,,COLUMN()),INDEX(fajok,,1),választott_faj)+IF(VLOOKUP(választott_kaszt_1,kasztok,63,FALSE)="kf",2,0),IF(választott_faj="",20,MAX(K$37,SUMIFS(INDEX(fajiminmax,,COLUMN()),INDEX(fajiminmax,,1),választott_faj)))))+K$35+COUNTIF(INDEX(csillagjegyek,,4),K$36)</f>
        <v>20</v>
      </c>
      <c r="L38" s="10" t="s">
        <v>1266</v>
      </c>
      <c r="M38" s="34">
        <v>0</v>
      </c>
      <c r="N38" s="34">
        <v>161</v>
      </c>
      <c r="O38" s="34">
        <v>331</v>
      </c>
      <c r="P38" s="34">
        <v>661</v>
      </c>
      <c r="Q38" s="34">
        <v>1301</v>
      </c>
      <c r="R38" s="34">
        <v>2601</v>
      </c>
      <c r="S38" s="34">
        <v>5001</v>
      </c>
      <c r="T38" s="34">
        <v>9001</v>
      </c>
      <c r="U38" s="34">
        <v>23001</v>
      </c>
      <c r="V38" s="34">
        <v>50001</v>
      </c>
      <c r="W38" s="34">
        <v>90001</v>
      </c>
      <c r="X38" s="34">
        <v>130001</v>
      </c>
      <c r="Y38" s="34">
        <f>165001+MAX(0,SUMIFS(INDEX(választott_kasztok,,10),INDEX(választott_kasztok,,1),$L38)-13)*50000</f>
        <v>165001</v>
      </c>
      <c r="Z38" s="20">
        <v>5</v>
      </c>
      <c r="AA38" s="20">
        <v>17</v>
      </c>
      <c r="AB38" s="20">
        <v>72</v>
      </c>
      <c r="AC38" s="20">
        <v>0</v>
      </c>
      <c r="AD38" s="10">
        <f>MAX(8,SUMIFS(INDEX(választott_kasztok,,10),INDEX(választott_kasztok,,1),$L38)*8)</f>
        <v>8</v>
      </c>
      <c r="AE38" s="10">
        <f t="shared" si="71"/>
        <v>3</v>
      </c>
      <c r="AF38" s="10">
        <f t="shared" si="71"/>
        <v>3</v>
      </c>
      <c r="AG38" s="20">
        <f>IF(AND(többes_kaszt=iker_kaszt,váltás_kezdet=0,váltás_kezdet&lt;&gt;""),0,6)</f>
        <v>6</v>
      </c>
      <c r="AH38" s="10">
        <f>MAX(0,IF(választott_kaszt_1=$L38,IF(váltás_kezdet="",VLOOKUP($L38,választott_kasztok,10,FALSE)*10,MIN(VLOOKUP($L38,választott_kasztok,10,FALSE),váltás_kezdet)*10+IF(többes_kaszt=iker_kaszt,MAX(0,VLOOKUP($L38,választott_kasztok,10,FALSE)-váltás_kezdet),0)+IF(többes_kaszt=váltott_kaszt,MAX(0,váltás_kezdet-VLOOKUP($L38,választott_kasztok,10,FALSE))*10)),0)+IF(választott_kaszt_2=$L38,VLOOKUP($L38,választott_kasztok,10,FALSE)*IF(többes_kaszt=iker_kaszt,1,10),0))</f>
        <v>0</v>
      </c>
      <c r="AI38" s="20">
        <v>0</v>
      </c>
      <c r="AJ38" s="20">
        <v>6</v>
      </c>
      <c r="AK38" s="20">
        <v>6</v>
      </c>
      <c r="AL38" s="10">
        <f>MAX(1,SUMIFS(INDEX(választott_kasztok,,10),INDEX(választott_kasztok,,1),$L38))*(k6dobás+2)</f>
        <v>8</v>
      </c>
      <c r="AM38" s="10">
        <f t="shared" si="84"/>
        <v>9</v>
      </c>
      <c r="AN38" s="20" t="s">
        <v>1183</v>
      </c>
      <c r="AO38" s="209"/>
      <c r="AP38" s="33">
        <v>0</v>
      </c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117">
        <f>165001+MAX(0,váltás_kezdet-13)*50000</f>
        <v>165001</v>
      </c>
      <c r="BB38" s="17">
        <f t="shared" si="0"/>
        <v>13</v>
      </c>
      <c r="BC38" s="17">
        <f t="shared" si="1"/>
        <v>11</v>
      </c>
      <c r="BD38" s="17">
        <f t="shared" si="2"/>
        <v>11</v>
      </c>
      <c r="BE38" s="17">
        <f t="shared" si="3"/>
        <v>13</v>
      </c>
      <c r="BF38" s="17">
        <f t="shared" si="4"/>
        <v>14</v>
      </c>
      <c r="BG38" s="116">
        <f t="shared" si="5"/>
        <v>16</v>
      </c>
      <c r="BH38" s="17">
        <f t="shared" si="6"/>
        <v>14</v>
      </c>
      <c r="BI38" s="17">
        <f t="shared" si="7"/>
        <v>14</v>
      </c>
      <c r="BJ38" s="17">
        <f t="shared" si="8"/>
        <v>16</v>
      </c>
      <c r="BK38" s="17">
        <f t="shared" si="9"/>
        <v>14</v>
      </c>
      <c r="BL38" s="17">
        <f t="shared" si="10"/>
        <v>0</v>
      </c>
      <c r="BM38" s="13">
        <f t="shared" si="11"/>
        <v>0</v>
      </c>
      <c r="BN38" s="12"/>
      <c r="BO38" s="12"/>
      <c r="BP38" s="12"/>
      <c r="BQ38" s="12"/>
      <c r="BR38" s="12"/>
      <c r="BS38" s="12"/>
      <c r="BT38" s="12"/>
      <c r="BU38" s="12" t="s">
        <v>262</v>
      </c>
      <c r="BV38" s="12" t="s">
        <v>262</v>
      </c>
      <c r="BW38" s="51"/>
      <c r="BX38" s="12" t="s">
        <v>131</v>
      </c>
      <c r="BY38" s="12" t="s">
        <v>129</v>
      </c>
      <c r="BZ38" s="12" t="s">
        <v>129</v>
      </c>
      <c r="CA38" s="12" t="s">
        <v>131</v>
      </c>
      <c r="CB38" s="12" t="s">
        <v>132</v>
      </c>
      <c r="CC38" s="12" t="s">
        <v>135</v>
      </c>
      <c r="CD38" s="12" t="s">
        <v>132</v>
      </c>
      <c r="CE38" s="12" t="s">
        <v>132</v>
      </c>
      <c r="CF38" s="12" t="s">
        <v>134</v>
      </c>
      <c r="CG38" s="12" t="s">
        <v>132</v>
      </c>
      <c r="CH38" s="10">
        <v>3</v>
      </c>
      <c r="CI38" s="10">
        <v>6</v>
      </c>
      <c r="CJ38" s="148"/>
      <c r="CK38" s="63"/>
    </row>
    <row r="39" spans="1:89" ht="15.75" thickBo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 t="s">
        <v>1264</v>
      </c>
      <c r="M39" s="34">
        <v>0</v>
      </c>
      <c r="N39" s="34">
        <v>161</v>
      </c>
      <c r="O39" s="34">
        <v>331</v>
      </c>
      <c r="P39" s="34">
        <v>661</v>
      </c>
      <c r="Q39" s="34">
        <v>1301</v>
      </c>
      <c r="R39" s="34">
        <v>2601</v>
      </c>
      <c r="S39" s="34">
        <v>5001</v>
      </c>
      <c r="T39" s="34">
        <v>9001</v>
      </c>
      <c r="U39" s="34">
        <v>23001</v>
      </c>
      <c r="V39" s="34">
        <v>50001</v>
      </c>
      <c r="W39" s="34">
        <v>90001</v>
      </c>
      <c r="X39" s="34">
        <v>130001</v>
      </c>
      <c r="Y39" s="34">
        <f>165001+MAX(0,SUMIFS(INDEX(választott_kasztok,,10),INDEX(választott_kasztok,,1),$L39)-13)*50000</f>
        <v>165001</v>
      </c>
      <c r="Z39" s="20">
        <v>5</v>
      </c>
      <c r="AA39" s="20">
        <v>17</v>
      </c>
      <c r="AB39" s="20">
        <v>72</v>
      </c>
      <c r="AC39" s="20">
        <v>0</v>
      </c>
      <c r="AD39" s="10">
        <f>MAX(8,SUMIFS(INDEX(választott_kasztok,,10),INDEX(választott_kasztok,,1),$L39)*8)</f>
        <v>8</v>
      </c>
      <c r="AE39" s="10">
        <f t="shared" si="71"/>
        <v>3</v>
      </c>
      <c r="AF39" s="10">
        <f t="shared" si="71"/>
        <v>3</v>
      </c>
      <c r="AG39" s="20">
        <f>IF(AND(többes_kaszt=iker_kaszt,váltás_kezdet=0,váltás_kezdet&lt;&gt;""),0,6)</f>
        <v>6</v>
      </c>
      <c r="AH39" s="10">
        <f>MAX(0,IF(választott_kaszt_1=$L39,IF(váltás_kezdet="",VLOOKUP($L39,választott_kasztok,10,FALSE)*10,MIN(VLOOKUP($L39,választott_kasztok,10,FALSE),váltás_kezdet)*10+IF(többes_kaszt=iker_kaszt,MAX(0,VLOOKUP($L39,választott_kasztok,10,FALSE)-váltás_kezdet),0)+IF(többes_kaszt=váltott_kaszt,MAX(0,váltás_kezdet-VLOOKUP($L39,választott_kasztok,10,FALSE))*10)),0)+IF(választott_kaszt_2=$L39,VLOOKUP($L39,választott_kasztok,10,FALSE)*IF(többes_kaszt=iker_kaszt,1,10),0))</f>
        <v>0</v>
      </c>
      <c r="AI39" s="20">
        <v>0</v>
      </c>
      <c r="AJ39" s="20">
        <v>6</v>
      </c>
      <c r="AK39" s="20">
        <v>6</v>
      </c>
      <c r="AL39" s="10">
        <f>MAX(1,SUMIFS(INDEX(választott_kasztok,,10),INDEX(választott_kasztok,,1),$L39))*(k6dobás+2)</f>
        <v>8</v>
      </c>
      <c r="AM39" s="10">
        <f t="shared" si="84"/>
        <v>9</v>
      </c>
      <c r="AN39" s="20" t="s">
        <v>1183</v>
      </c>
      <c r="AO39" s="209"/>
      <c r="AP39" s="33">
        <v>0</v>
      </c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117">
        <f>165001+MAX(0,váltás_kezdet-13)*50000</f>
        <v>165001</v>
      </c>
      <c r="BB39" s="17">
        <f t="shared" si="0"/>
        <v>13</v>
      </c>
      <c r="BC39" s="17">
        <f t="shared" si="1"/>
        <v>11</v>
      </c>
      <c r="BD39" s="17">
        <f t="shared" si="2"/>
        <v>11</v>
      </c>
      <c r="BE39" s="17">
        <f t="shared" si="3"/>
        <v>13</v>
      </c>
      <c r="BF39" s="17">
        <f t="shared" si="4"/>
        <v>14</v>
      </c>
      <c r="BG39" s="116">
        <f t="shared" si="5"/>
        <v>16</v>
      </c>
      <c r="BH39" s="17">
        <f t="shared" si="6"/>
        <v>14</v>
      </c>
      <c r="BI39" s="17">
        <f t="shared" si="7"/>
        <v>14</v>
      </c>
      <c r="BJ39" s="17">
        <f t="shared" si="8"/>
        <v>16</v>
      </c>
      <c r="BK39" s="17">
        <f t="shared" si="9"/>
        <v>14</v>
      </c>
      <c r="BL39" s="17">
        <f t="shared" si="10"/>
        <v>0</v>
      </c>
      <c r="BM39" s="13">
        <f t="shared" si="11"/>
        <v>0</v>
      </c>
      <c r="BN39" s="12"/>
      <c r="BO39" s="12"/>
      <c r="BP39" s="12"/>
      <c r="BQ39" s="12"/>
      <c r="BR39" s="12"/>
      <c r="BS39" s="12"/>
      <c r="BT39" s="12"/>
      <c r="BU39" s="12" t="s">
        <v>262</v>
      </c>
      <c r="BV39" s="12" t="s">
        <v>262</v>
      </c>
      <c r="BW39" s="51"/>
      <c r="BX39" s="12" t="s">
        <v>131</v>
      </c>
      <c r="BY39" s="12" t="s">
        <v>129</v>
      </c>
      <c r="BZ39" s="12" t="s">
        <v>129</v>
      </c>
      <c r="CA39" s="12" t="s">
        <v>131</v>
      </c>
      <c r="CB39" s="12" t="s">
        <v>132</v>
      </c>
      <c r="CC39" s="12" t="s">
        <v>135</v>
      </c>
      <c r="CD39" s="12" t="s">
        <v>132</v>
      </c>
      <c r="CE39" s="12" t="s">
        <v>132</v>
      </c>
      <c r="CF39" s="12" t="s">
        <v>134</v>
      </c>
      <c r="CG39" s="12" t="s">
        <v>132</v>
      </c>
      <c r="CH39" s="10">
        <v>3</v>
      </c>
      <c r="CI39" s="10">
        <v>6</v>
      </c>
      <c r="CJ39" s="148"/>
      <c r="CK39" s="63"/>
    </row>
    <row r="40" spans="1:89" ht="15.75">
      <c r="A40" s="74" t="s">
        <v>227</v>
      </c>
      <c r="B40" s="28"/>
      <c r="C40" s="74" t="s">
        <v>228</v>
      </c>
      <c r="D40" s="10"/>
      <c r="E40" s="616" t="s">
        <v>702</v>
      </c>
      <c r="F40" s="617"/>
      <c r="G40" s="10"/>
      <c r="H40" s="616" t="s">
        <v>1191</v>
      </c>
      <c r="I40" s="617"/>
      <c r="J40" s="10"/>
      <c r="K40" s="10"/>
      <c r="L40" s="20" t="s">
        <v>293</v>
      </c>
      <c r="M40" s="34">
        <v>0</v>
      </c>
      <c r="N40" s="34">
        <v>176</v>
      </c>
      <c r="O40" s="34">
        <v>353</v>
      </c>
      <c r="P40" s="34">
        <v>721</v>
      </c>
      <c r="Q40" s="34">
        <v>1501</v>
      </c>
      <c r="R40" s="34">
        <v>3501</v>
      </c>
      <c r="S40" s="34">
        <v>7001</v>
      </c>
      <c r="T40" s="34">
        <v>10501</v>
      </c>
      <c r="U40" s="34">
        <v>21001</v>
      </c>
      <c r="V40" s="34">
        <v>48001</v>
      </c>
      <c r="W40" s="34">
        <v>78001</v>
      </c>
      <c r="X40" s="34">
        <v>108001</v>
      </c>
      <c r="Y40" s="34">
        <f>138001+MAX(0,SUMIFS(INDEX(választott_kasztok,,10),INDEX(választott_kasztok,,1),$L40)-13)*38000</f>
        <v>138001</v>
      </c>
      <c r="Z40" s="20">
        <v>5</v>
      </c>
      <c r="AA40" s="20">
        <v>20</v>
      </c>
      <c r="AB40" s="20">
        <v>75</v>
      </c>
      <c r="AC40" s="20">
        <v>0</v>
      </c>
      <c r="AD40" s="10">
        <f>MAX(9,SUMIFS(INDEX(választott_kasztok,,10),INDEX(választott_kasztok,,1),$L40)*9)</f>
        <v>9</v>
      </c>
      <c r="AE40" s="10">
        <f t="shared" si="71"/>
        <v>3</v>
      </c>
      <c r="AF40" s="10">
        <f t="shared" si="71"/>
        <v>3</v>
      </c>
      <c r="AG40" s="20">
        <f>IF(AND(többes_kaszt=iker_kaszt,váltás_kezdet=0,váltás_kezdet&lt;&gt;""),0,5)</f>
        <v>5</v>
      </c>
      <c r="AH40" s="10">
        <f>MAX(0,IF(választott_kaszt_1=$L40,IF(váltás_kezdet="",VLOOKUP($L40,választott_kasztok,10,FALSE)*5,MIN(VLOOKUP($L40,választott_kasztok,10,FALSE),váltás_kezdet)*5+IF(többes_kaszt=iker_kaszt,MAX(0,VLOOKUP($L40,választott_kasztok,10,FALSE)-váltás_kezdet),0)+IF(többes_kaszt=váltott_kaszt,MAX(0,váltás_kezdet-VLOOKUP($L40,választott_kasztok,10,FALSE))*5)),0)+IF(választott_kaszt_2=$L40,VLOOKUP($L40,választott_kasztok,10,FALSE)*IF(többes_kaszt=iker_kaszt,1,5),0))</f>
        <v>0</v>
      </c>
      <c r="AI40" s="20">
        <v>0</v>
      </c>
      <c r="AJ40" s="20">
        <v>8</v>
      </c>
      <c r="AK40" s="20">
        <v>7</v>
      </c>
      <c r="AL40" s="10">
        <f>MAX(1,SUMIFS(INDEX(választott_kasztok,,10),INDEX(választott_kasztok,,1),$L40))*(k6dobás+5)</f>
        <v>11</v>
      </c>
      <c r="AM40" s="10">
        <f t="shared" si="84"/>
        <v>9</v>
      </c>
      <c r="AN40" s="20" t="s">
        <v>1183</v>
      </c>
      <c r="AO40" s="209"/>
      <c r="AP40" s="34">
        <v>0</v>
      </c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117">
        <f>138001+MAX(0,váltás_kezdet-13)*38000</f>
        <v>138001</v>
      </c>
      <c r="BB40" s="17">
        <f t="shared" si="0"/>
        <v>14</v>
      </c>
      <c r="BC40" s="17">
        <f t="shared" si="1"/>
        <v>11</v>
      </c>
      <c r="BD40" s="17">
        <f t="shared" si="2"/>
        <v>11</v>
      </c>
      <c r="BE40" s="17">
        <f t="shared" si="3"/>
        <v>14</v>
      </c>
      <c r="BF40" s="116">
        <f t="shared" si="4"/>
        <v>16</v>
      </c>
      <c r="BG40" s="17">
        <f t="shared" si="5"/>
        <v>14</v>
      </c>
      <c r="BH40" s="17">
        <f t="shared" si="6"/>
        <v>13</v>
      </c>
      <c r="BI40" s="17">
        <f t="shared" si="7"/>
        <v>14</v>
      </c>
      <c r="BJ40" s="17">
        <f t="shared" si="8"/>
        <v>16</v>
      </c>
      <c r="BK40" s="17">
        <f t="shared" si="9"/>
        <v>14</v>
      </c>
      <c r="BL40" s="17">
        <f t="shared" si="10"/>
        <v>0</v>
      </c>
      <c r="BM40" s="13">
        <f t="shared" si="11"/>
        <v>0</v>
      </c>
      <c r="BN40" s="12" t="s">
        <v>262</v>
      </c>
      <c r="BO40" s="12"/>
      <c r="BP40" s="12"/>
      <c r="BQ40" s="12"/>
      <c r="BR40" s="12"/>
      <c r="BS40" s="12"/>
      <c r="BT40" s="12"/>
      <c r="BU40" s="12"/>
      <c r="BV40" s="12"/>
      <c r="BW40" s="51"/>
      <c r="BX40" s="12" t="s">
        <v>132</v>
      </c>
      <c r="BY40" s="12" t="s">
        <v>129</v>
      </c>
      <c r="BZ40" s="12" t="s">
        <v>129</v>
      </c>
      <c r="CA40" s="12" t="s">
        <v>132</v>
      </c>
      <c r="CB40" s="12" t="s">
        <v>135</v>
      </c>
      <c r="CC40" s="12" t="s">
        <v>132</v>
      </c>
      <c r="CD40" s="12" t="s">
        <v>131</v>
      </c>
      <c r="CE40" s="12" t="s">
        <v>132</v>
      </c>
      <c r="CF40" s="12" t="s">
        <v>134</v>
      </c>
      <c r="CG40" s="12" t="s">
        <v>132</v>
      </c>
      <c r="CH40" s="10">
        <v>3</v>
      </c>
      <c r="CI40" s="10">
        <v>6</v>
      </c>
      <c r="CJ40" s="148"/>
      <c r="CK40" s="63"/>
    </row>
    <row r="41" spans="1:89">
      <c r="A41" s="72" t="s">
        <v>234</v>
      </c>
      <c r="B41" s="10"/>
      <c r="C41" s="75" t="s">
        <v>251</v>
      </c>
      <c r="D41" s="10"/>
      <c r="E41" s="612" t="s">
        <v>703</v>
      </c>
      <c r="F41" s="613"/>
      <c r="G41" s="10"/>
      <c r="H41" s="612" t="str">
        <f>amazon</f>
        <v>Amazon</v>
      </c>
      <c r="I41" s="613"/>
      <c r="J41" s="10"/>
      <c r="K41" s="10"/>
      <c r="L41" s="261" t="s">
        <v>294</v>
      </c>
      <c r="M41" s="33">
        <v>0</v>
      </c>
      <c r="N41" s="33">
        <v>161</v>
      </c>
      <c r="O41" s="33">
        <v>321</v>
      </c>
      <c r="P41" s="33">
        <v>641</v>
      </c>
      <c r="Q41" s="33">
        <v>1441</v>
      </c>
      <c r="R41" s="34">
        <v>2801</v>
      </c>
      <c r="S41" s="33">
        <v>5601</v>
      </c>
      <c r="T41" s="33">
        <v>10001</v>
      </c>
      <c r="U41" s="33">
        <v>20001</v>
      </c>
      <c r="V41" s="33">
        <v>40001</v>
      </c>
      <c r="W41" s="33">
        <v>60001</v>
      </c>
      <c r="X41" s="33">
        <v>80001</v>
      </c>
      <c r="Y41" s="34">
        <f>112001+MAX(0,SUMIFS(INDEX(választott_kasztok,,10),INDEX(választott_kasztok,,1),$L41)-13)*31200</f>
        <v>112001</v>
      </c>
      <c r="Z41" s="10">
        <v>9</v>
      </c>
      <c r="AA41" s="10">
        <v>20</v>
      </c>
      <c r="AB41" s="10">
        <v>75</v>
      </c>
      <c r="AC41" s="10">
        <v>0</v>
      </c>
      <c r="AD41" s="10">
        <f>MAX(11,SUMIFS(INDEX(választott_kasztok,,10),INDEX(választott_kasztok,,1),$L41)*11)</f>
        <v>11</v>
      </c>
      <c r="AE41" s="10">
        <f t="shared" si="71"/>
        <v>3</v>
      </c>
      <c r="AF41" s="10">
        <f t="shared" si="71"/>
        <v>3</v>
      </c>
      <c r="AG41" s="20">
        <f>IF(AND(többes_kaszt=iker_kaszt,váltás_kezdet=0,váltás_kezdet&lt;&gt;""),0,10)</f>
        <v>10</v>
      </c>
      <c r="AH41" s="10">
        <f>MAX(0,IF(választott_kaszt_1=$L41,IF(váltás_kezdet="",VLOOKUP($L41,választott_kasztok,10,FALSE)*14,MIN(VLOOKUP($L41,választott_kasztok,10,FALSE),váltás_kezdet)*14+IF(többes_kaszt=iker_kaszt,MAX(0,VLOOKUP($L41,választott_kasztok,10,FALSE)-váltás_kezdet),0)+IF(többes_kaszt=váltott_kaszt,MAX(0,váltás_kezdet-VLOOKUP($L41,választott_kasztok,10,FALSE))*14)),0)+IF(választott_kaszt_2=$L41,VLOOKUP($L41,választott_kasztok,10,FALSE)*IF(többes_kaszt=iker_kaszt,1,14),0))</f>
        <v>0</v>
      </c>
      <c r="AI41" s="10">
        <v>0</v>
      </c>
      <c r="AJ41" s="10">
        <v>7</v>
      </c>
      <c r="AK41" s="10">
        <v>6</v>
      </c>
      <c r="AL41" s="10">
        <f>MAX(1,SUMIFS(INDEX(választott_kasztok,,10),INDEX(választott_kasztok,,1),$L41))*(k6dobás+4)</f>
        <v>10</v>
      </c>
      <c r="AM41" s="10"/>
      <c r="AN41" s="20" t="str">
        <f>IF(OR(tanultAfTSZ&gt;0,tanultMfTSZ&gt;0),pyarroni,nincsen)</f>
        <v>nincs</v>
      </c>
      <c r="AO41" s="208" t="str">
        <f>IF(tanultMfkaszt=0,"00",IF(INDEX(választott_kasztok,tanultMfkaszt,1)=$L41,TEXT(tanultMfTSZ,"00"),"00"))&amp;IF(tanultAfkaszt=0,"00",IF(INDEX(választott_kasztok,tanultAfkaszt,1)=$L41,TEXT(tanultAfTSZ,"00"),"00"))&amp;"01"</f>
        <v>000001</v>
      </c>
      <c r="AP41" s="33">
        <v>0</v>
      </c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117">
        <f>112001+MAX(0,váltás_kezdet-13)*31200</f>
        <v>112001</v>
      </c>
      <c r="BB41" s="17">
        <f t="shared" si="0"/>
        <v>16</v>
      </c>
      <c r="BC41" s="17">
        <f t="shared" si="1"/>
        <v>13</v>
      </c>
      <c r="BD41" s="17">
        <f t="shared" si="2"/>
        <v>13</v>
      </c>
      <c r="BE41" s="17">
        <f t="shared" si="3"/>
        <v>14</v>
      </c>
      <c r="BF41" s="116">
        <f t="shared" si="4"/>
        <v>16</v>
      </c>
      <c r="BG41" s="17">
        <f t="shared" si="5"/>
        <v>11</v>
      </c>
      <c r="BH41" s="17">
        <f t="shared" si="6"/>
        <v>11</v>
      </c>
      <c r="BI41" s="17">
        <f t="shared" si="7"/>
        <v>13</v>
      </c>
      <c r="BJ41" s="17">
        <f t="shared" si="8"/>
        <v>11</v>
      </c>
      <c r="BK41" s="17">
        <f t="shared" si="9"/>
        <v>13</v>
      </c>
      <c r="BL41" s="17">
        <f t="shared" si="10"/>
        <v>0</v>
      </c>
      <c r="BM41" s="13">
        <f t="shared" si="11"/>
        <v>0</v>
      </c>
      <c r="BN41" s="12" t="s">
        <v>262</v>
      </c>
      <c r="BO41" s="12" t="s">
        <v>262</v>
      </c>
      <c r="BP41" s="12" t="s">
        <v>262</v>
      </c>
      <c r="BQ41" s="12" t="s">
        <v>262</v>
      </c>
      <c r="BR41" s="12"/>
      <c r="BS41" s="12"/>
      <c r="BT41" s="12"/>
      <c r="BU41" s="12"/>
      <c r="BV41" s="12"/>
      <c r="BW41" s="51"/>
      <c r="BX41" s="12" t="s">
        <v>134</v>
      </c>
      <c r="BY41" s="12" t="s">
        <v>131</v>
      </c>
      <c r="BZ41" s="12" t="s">
        <v>131</v>
      </c>
      <c r="CA41" s="12" t="s">
        <v>132</v>
      </c>
      <c r="CB41" s="12" t="s">
        <v>135</v>
      </c>
      <c r="CC41" s="12" t="s">
        <v>129</v>
      </c>
      <c r="CD41" s="12" t="s">
        <v>129</v>
      </c>
      <c r="CE41" s="12" t="s">
        <v>131</v>
      </c>
      <c r="CF41" s="12" t="s">
        <v>129</v>
      </c>
      <c r="CG41" s="12" t="s">
        <v>131</v>
      </c>
      <c r="CH41" s="10">
        <v>3</v>
      </c>
      <c r="CI41" s="10">
        <v>18</v>
      </c>
      <c r="CJ41" s="148"/>
      <c r="CK41" s="63"/>
    </row>
    <row r="42" spans="1:89">
      <c r="A42" s="72" t="s">
        <v>235</v>
      </c>
      <c r="B42" s="10"/>
      <c r="C42" s="72" t="s">
        <v>252</v>
      </c>
      <c r="D42" s="10"/>
      <c r="E42" s="612" t="s">
        <v>708</v>
      </c>
      <c r="F42" s="613"/>
      <c r="G42" s="10"/>
      <c r="H42" s="612" t="str">
        <f>barbár</f>
        <v>Barbár</v>
      </c>
      <c r="I42" s="613"/>
      <c r="J42" s="10"/>
      <c r="K42" s="10"/>
      <c r="L42" s="261" t="s">
        <v>295</v>
      </c>
      <c r="M42" s="33">
        <v>0</v>
      </c>
      <c r="N42" s="33">
        <v>161</v>
      </c>
      <c r="O42" s="33">
        <v>321</v>
      </c>
      <c r="P42" s="33">
        <v>641</v>
      </c>
      <c r="Q42" s="33">
        <v>1441</v>
      </c>
      <c r="R42" s="34">
        <v>2801</v>
      </c>
      <c r="S42" s="33">
        <v>5601</v>
      </c>
      <c r="T42" s="33">
        <v>10001</v>
      </c>
      <c r="U42" s="33">
        <v>20001</v>
      </c>
      <c r="V42" s="33">
        <v>40001</v>
      </c>
      <c r="W42" s="33">
        <v>60001</v>
      </c>
      <c r="X42" s="33">
        <v>80001</v>
      </c>
      <c r="Y42" s="34">
        <f>112001+MAX(0,SUMIFS(INDEX(választott_kasztok,,10),INDEX(választott_kasztok,,1),$L42)-13)*31200</f>
        <v>112001</v>
      </c>
      <c r="Z42" s="10">
        <v>9</v>
      </c>
      <c r="AA42" s="10">
        <v>20</v>
      </c>
      <c r="AB42" s="10">
        <v>75</v>
      </c>
      <c r="AC42" s="10">
        <v>0</v>
      </c>
      <c r="AD42" s="10">
        <f>MAX(11,SUMIFS(INDEX(választott_kasztok,,10),INDEX(választott_kasztok,,1),$L42)*11)</f>
        <v>11</v>
      </c>
      <c r="AE42" s="10">
        <f t="shared" si="71"/>
        <v>3</v>
      </c>
      <c r="AF42" s="10">
        <f t="shared" si="71"/>
        <v>3</v>
      </c>
      <c r="AG42" s="20">
        <f>IF(AND(többes_kaszt=iker_kaszt,váltás_kezdet=0,váltás_kezdet&lt;&gt;""),0,10)</f>
        <v>10</v>
      </c>
      <c r="AH42" s="10">
        <f>MAX(0,IF(választott_kaszt_1=$L42,IF(váltás_kezdet="",VLOOKUP($L42,választott_kasztok,10,FALSE)*14,MIN(VLOOKUP($L42,választott_kasztok,10,FALSE),váltás_kezdet)*14+IF(többes_kaszt=iker_kaszt,MAX(0,VLOOKUP($L42,választott_kasztok,10,FALSE)-váltás_kezdet),0)+IF(többes_kaszt=váltott_kaszt,MAX(0,váltás_kezdet-VLOOKUP($L42,választott_kasztok,10,FALSE))*14)),0)+IF(választott_kaszt_2=$L42,VLOOKUP($L42,választott_kasztok,10,FALSE)*IF(többes_kaszt=iker_kaszt,1,14),0))</f>
        <v>0</v>
      </c>
      <c r="AI42" s="10">
        <v>0</v>
      </c>
      <c r="AJ42" s="10">
        <v>7</v>
      </c>
      <c r="AK42" s="10">
        <v>6</v>
      </c>
      <c r="AL42" s="10">
        <f>MAX(1,SUMIFS(INDEX(választott_kasztok,,10),INDEX(választott_kasztok,,1),$L42))*(k6dobás+4)</f>
        <v>10</v>
      </c>
      <c r="AM42" s="10"/>
      <c r="AN42" s="20" t="str">
        <f>IF(OR(tanultAfTSZ&gt;0,tanultMfTSZ&gt;0),pyarroni,nincsen)</f>
        <v>nincs</v>
      </c>
      <c r="AO42" s="208" t="str">
        <f>IF(tanultMfkaszt=0,"00",IF(INDEX(választott_kasztok,tanultMfkaszt,1)=$L42,TEXT(tanultMfTSZ,"00"),"00"))&amp;IF(tanultAfkaszt=0,"00",IF(INDEX(választott_kasztok,tanultAfkaszt,1)=$L42,TEXT(tanultAfTSZ,"00"),"00"))&amp;"01"</f>
        <v>000001</v>
      </c>
      <c r="AP42" s="33">
        <v>0</v>
      </c>
      <c r="AQ42" s="56"/>
      <c r="AR42" s="56"/>
      <c r="AS42" s="56">
        <v>10</v>
      </c>
      <c r="AT42" s="56"/>
      <c r="AU42" s="56"/>
      <c r="AV42" s="56"/>
      <c r="AW42" s="56"/>
      <c r="AX42" s="56"/>
      <c r="AY42" s="56"/>
      <c r="AZ42" s="56"/>
      <c r="BA42" s="117">
        <f>112001+MAX(0,váltás_kezdet-13)*31200</f>
        <v>112001</v>
      </c>
      <c r="BB42" s="17">
        <f t="shared" si="0"/>
        <v>16</v>
      </c>
      <c r="BC42" s="17">
        <f t="shared" si="1"/>
        <v>13</v>
      </c>
      <c r="BD42" s="17">
        <f t="shared" si="2"/>
        <v>13</v>
      </c>
      <c r="BE42" s="17">
        <f t="shared" si="3"/>
        <v>14</v>
      </c>
      <c r="BF42" s="116">
        <f t="shared" si="4"/>
        <v>16</v>
      </c>
      <c r="BG42" s="17">
        <f t="shared" si="5"/>
        <v>11</v>
      </c>
      <c r="BH42" s="17">
        <f t="shared" si="6"/>
        <v>11</v>
      </c>
      <c r="BI42" s="17">
        <f t="shared" si="7"/>
        <v>13</v>
      </c>
      <c r="BJ42" s="17">
        <f t="shared" si="8"/>
        <v>11</v>
      </c>
      <c r="BK42" s="17">
        <f t="shared" si="9"/>
        <v>13</v>
      </c>
      <c r="BL42" s="17">
        <f t="shared" si="10"/>
        <v>0</v>
      </c>
      <c r="BM42" s="13">
        <f t="shared" si="11"/>
        <v>0</v>
      </c>
      <c r="BN42" s="12" t="s">
        <v>262</v>
      </c>
      <c r="BO42" s="12" t="s">
        <v>262</v>
      </c>
      <c r="BP42" s="12" t="s">
        <v>262</v>
      </c>
      <c r="BQ42" s="12" t="s">
        <v>262</v>
      </c>
      <c r="BR42" s="12"/>
      <c r="BS42" s="12"/>
      <c r="BT42" s="12"/>
      <c r="BU42" s="12"/>
      <c r="BV42" s="12"/>
      <c r="BW42" s="51"/>
      <c r="BX42" s="12" t="s">
        <v>134</v>
      </c>
      <c r="BY42" s="12" t="s">
        <v>131</v>
      </c>
      <c r="BZ42" s="12" t="s">
        <v>131</v>
      </c>
      <c r="CA42" s="12" t="s">
        <v>132</v>
      </c>
      <c r="CB42" s="12" t="s">
        <v>135</v>
      </c>
      <c r="CC42" s="12" t="s">
        <v>129</v>
      </c>
      <c r="CD42" s="12" t="s">
        <v>129</v>
      </c>
      <c r="CE42" s="12" t="s">
        <v>131</v>
      </c>
      <c r="CF42" s="12" t="s">
        <v>129</v>
      </c>
      <c r="CG42" s="12" t="s">
        <v>131</v>
      </c>
      <c r="CH42" s="10">
        <v>3</v>
      </c>
      <c r="CI42" s="10">
        <v>18</v>
      </c>
      <c r="CJ42" s="148"/>
      <c r="CK42" s="63"/>
    </row>
    <row r="43" spans="1:89">
      <c r="A43" s="72" t="s">
        <v>240</v>
      </c>
      <c r="B43" s="10"/>
      <c r="C43" s="72" t="s">
        <v>253</v>
      </c>
      <c r="D43" s="10"/>
      <c r="E43" s="612" t="s">
        <v>707</v>
      </c>
      <c r="F43" s="613"/>
      <c r="G43" s="10"/>
      <c r="H43" s="612" t="str">
        <f>hegyi_barbár</f>
        <v>Hegyi barbár</v>
      </c>
      <c r="I43" s="613"/>
      <c r="J43" s="10"/>
      <c r="K43" s="10"/>
      <c r="L43" s="10" t="s">
        <v>296</v>
      </c>
      <c r="M43" s="34">
        <v>0</v>
      </c>
      <c r="N43" s="34">
        <v>100</v>
      </c>
      <c r="O43" s="34">
        <v>200</v>
      </c>
      <c r="P43" s="34">
        <v>400</v>
      </c>
      <c r="Q43" s="34">
        <v>800</v>
      </c>
      <c r="R43" s="34">
        <v>1600</v>
      </c>
      <c r="S43" s="34">
        <v>3200</v>
      </c>
      <c r="T43" s="34">
        <v>6400</v>
      </c>
      <c r="U43" s="34">
        <v>12800</v>
      </c>
      <c r="V43" s="34">
        <v>24800</v>
      </c>
      <c r="W43" s="34">
        <v>36800</v>
      </c>
      <c r="X43" s="34">
        <v>48800</v>
      </c>
      <c r="Y43" s="34">
        <f>60800+MAX(0,SUMIFS(INDEX(választott_kasztok,,10),INDEX(választott_kasztok,,1),$L43)-13)*12000</f>
        <v>60800</v>
      </c>
      <c r="Z43" s="20">
        <v>2</v>
      </c>
      <c r="AA43" s="20">
        <v>13</v>
      </c>
      <c r="AB43" s="20">
        <v>69</v>
      </c>
      <c r="AC43" s="20">
        <v>0</v>
      </c>
      <c r="AD43" s="10">
        <f>MAX(4,SUMIFS(INDEX(választott_kasztok,,10),INDEX(választott_kasztok,,1),$L43)*4)</f>
        <v>4</v>
      </c>
      <c r="AE43" s="37">
        <f>MAX(0,SUMIFS(INDEX(választott_kasztok,,10),INDEX(választott_kasztok,,1),$L43)*0)</f>
        <v>0</v>
      </c>
      <c r="AF43" s="10">
        <f>MAX(2,SUMIFS(INDEX(választott_kasztok,,10),INDEX(választott_kasztok,,1),$L43)*2)</f>
        <v>2</v>
      </c>
      <c r="AG43" s="20">
        <f>IF(AND(többes_kaszt=iker_kaszt,váltás_kezdet=0,váltás_kezdet&lt;&gt;""),0,12)</f>
        <v>12</v>
      </c>
      <c r="AH43" s="10">
        <f>MAX(0,IF(választott_kaszt_1=$L43,IF(váltás_kezdet="",VLOOKUP($L43,választott_kasztok,10,FALSE)*10,MIN(VLOOKUP($L43,választott_kasztok,10,FALSE),váltás_kezdet)*10+IF(többes_kaszt=iker_kaszt,MAX(0,VLOOKUP($L43,választott_kasztok,10,FALSE)-váltás_kezdet),0)+IF(többes_kaszt=váltott_kaszt,MAX(0,váltás_kezdet-VLOOKUP($L43,választott_kasztok,10,FALSE))*10)),0)+IF(választott_kaszt_2=$L43,VLOOKUP($L43,választott_kasztok,10,FALSE)*IF(többes_kaszt=iker_kaszt,1,10),0))</f>
        <v>0</v>
      </c>
      <c r="AI43" s="20">
        <v>0</v>
      </c>
      <c r="AJ43" s="20">
        <v>6</v>
      </c>
      <c r="AK43" s="37">
        <v>11</v>
      </c>
      <c r="AL43" s="37">
        <f>MAX(1,SUMIFS(INDEX(választott_kasztok,,10),INDEX(választott_kasztok,,1),$L43))*(k6dobás+2)</f>
        <v>8</v>
      </c>
      <c r="AM43" s="10">
        <f>MAX(9,MIN(1,SUMIFS(INDEX(választott_kasztok,,10),INDEX(választott_kasztok,,1),$L43))*9+MAX(0,SUMIFS(INDEX(választott_kasztok,,10),INDEX(választott_kasztok,,1),$L43)-1)*(6+ROUNDUP(k6dobás/2,0)))</f>
        <v>9</v>
      </c>
      <c r="AN43" s="20" t="s">
        <v>1183</v>
      </c>
      <c r="AO43" s="209"/>
      <c r="AP43" s="33">
        <v>0</v>
      </c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17">
        <f>60800+MAX(0,váltás_kezdet-13)*12000</f>
        <v>60800</v>
      </c>
      <c r="BB43" s="17">
        <f t="shared" ref="BB43:BB88" si="86">MAX(SUMIFS(INDEX(dobások,,2),INDEX(dobások,,1),BX43)+SUMIFS(INDEX(fajok,,3),INDEX(fajok,,1),választott_faj),IF(AND(többes_kaszt=iker_kaszt,váltás_kezdet=1,választott_kaszt_1=$L43),SUMIFS(INDEX(kasztok,,43),INDEX(kasztok,,1),választott_kaszt_2),0))</f>
        <v>13</v>
      </c>
      <c r="BC43" s="17">
        <f t="shared" ref="BC43:BC88" si="87">MAX(SUMIFS(INDEX(dobások,,2),INDEX(dobások,,1),BY43)+SUMIFS(INDEX(fajok,,4),INDEX(fajok,,1),választott_faj),IF(AND(többes_kaszt=iker_kaszt,váltás_kezdet=1,választott_kaszt_1=$L43),SUMIFS(INDEX(kasztok,,44),INDEX(kasztok,,1),választott_kaszt_2),0))</f>
        <v>11</v>
      </c>
      <c r="BD43" s="17">
        <f t="shared" ref="BD43:BD88" si="88">MAX(SUMIFS(INDEX(dobások,,2),INDEX(dobások,,1),BZ43)+SUMIFS(INDEX(fajok,,5),INDEX(fajok,,1),választott_faj),IF(AND(többes_kaszt=iker_kaszt,váltás_kezdet=1,választott_kaszt_1=$L43),SUMIFS(INDEX(kasztok,,45),INDEX(kasztok,,1),választott_kaszt_2),0))</f>
        <v>11</v>
      </c>
      <c r="BE43" s="17">
        <f t="shared" ref="BE43:BE88" si="89">MAX(SUMIFS(INDEX(dobások,,2),INDEX(dobások,,1),CA43)+SUMIFS(INDEX(fajok,,6),INDEX(fajok,,1),választott_faj),IF(AND(többes_kaszt=iker_kaszt,váltás_kezdet=1,választott_kaszt_1=$L43),SUMIFS(INDEX(kasztok,,46),INDEX(kasztok,,1),választott_kaszt_2),0))</f>
        <v>13</v>
      </c>
      <c r="BF43" s="17">
        <f t="shared" ref="BF43:BF88" si="90">MAX(SUMIFS(INDEX(dobások,,2),INDEX(dobások,,1),CB43)+SUMIFS(INDEX(fajok,,7),INDEX(fajok,,1),választott_faj),IF(AND(többes_kaszt=iker_kaszt,váltás_kezdet=1,választott_kaszt_1=$L43),SUMIFS(INDEX(kasztok,,47),INDEX(kasztok,,1),választott_kaszt_2),0))</f>
        <v>14</v>
      </c>
      <c r="BG43" s="116">
        <f t="shared" ref="BG43:BG88" si="91">MAX(SUMIFS(INDEX(dobások,,2),INDEX(dobások,,1),CC43)+SUMIFS(INDEX(fajok,,8),INDEX(fajok,,1),választott_faj),IF(AND(többes_kaszt=iker_kaszt,váltás_kezdet=1,választott_kaszt_1=$L43),SUMIFS(INDEX(kasztok,,48),INDEX(kasztok,,1),választott_kaszt_2),0))</f>
        <v>16</v>
      </c>
      <c r="BH43" s="17">
        <f t="shared" ref="BH43:BH88" si="92">MAX(SUMIFS(INDEX(dobások,,2),INDEX(dobások,,1),CD43)+SUMIFS(INDEX(fajok,,9),INDEX(fajok,,1),választott_faj),IF(AND(többes_kaszt=iker_kaszt,váltás_kezdet=1,választott_kaszt_1=$L43),SUMIFS(INDEX(kasztok,,49),INDEX(kasztok,,1),választott_kaszt_2),0))</f>
        <v>14</v>
      </c>
      <c r="BI43" s="17">
        <f t="shared" ref="BI43:BI88" si="93">MAX(SUMIFS(INDEX(dobások,,2),INDEX(dobások,,1),CE43),IF(AND(többes_kaszt=iker_kaszt,váltás_kezdet=1,választott_kaszt_1=$L43),SUMIFS(INDEX(kasztok,,50),INDEX(kasztok,,1),választott_kaszt_2),0))</f>
        <v>14</v>
      </c>
      <c r="BJ43" s="17">
        <f t="shared" ref="BJ43:BJ88" si="94">MAX(SUMIFS(INDEX(dobások,,2),INDEX(dobások,,1),CF43)+SUMIFS(INDEX(fajok,,10),INDEX(fajok,,1),választott_faj),IF(AND(többes_kaszt=iker_kaszt,váltás_kezdet=1,választott_kaszt_1=$L43),SUMIFS(INDEX(kasztok,,51),INDEX(kasztok,,1),választott_kaszt_2),0))</f>
        <v>16</v>
      </c>
      <c r="BK43" s="17">
        <f t="shared" ref="BK43:BK88" si="95">MAX(SUMIFS(INDEX(dobások,,2),INDEX(dobások,,1),CG43),IF(AND(többes_kaszt=iker_kaszt,váltás_kezdet=1,választott_kaszt_1=$L43),SUMIFS(INDEX(kasztok,,52),INDEX(kasztok,,1),választott_kaszt_2),0))</f>
        <v>14</v>
      </c>
      <c r="BL43" s="17">
        <f t="shared" si="10"/>
        <v>0</v>
      </c>
      <c r="BM43" s="13">
        <f t="shared" ref="BM43:BM89" si="96">MAX(0,erő-(SUMIFS(INDEX(dobások,,4),INDEX(dobások,,1),BX43)+SUMIFS(INDEX(fajok,,3),INDEX(fajok,,1),választott_faj)))+MAX(0,gyorsaság-(SUMIFS(INDEX(dobások,,4),INDEX(dobások,,1),BY43)+SUMIFS(INDEX(fajok,,4),INDEX(fajok,,1),választott_faj)))+MAX(0,ügyesség-(SUMIFS(INDEX(dobások,,4),INDEX(dobások,,1),BZ43)+SUMIFS(INDEX(fajok,,5),INDEX(fajok,,1),választott_faj)))+MAX(0,állóképesség-(SUMIFS(INDEX(dobások,,4),INDEX(dobások,,1),CA43)+SUMIFS(INDEX(fajok,,6),INDEX(fajok,,1),választott_faj)))+MAX(0,egészség-(SUMIFS(INDEX(dobások,,4),INDEX(dobások,,1),CB43)+SUMIFS(INDEX(fajok,,7),INDEX(fajok,,1),választott_faj)))+MAX(0,szépség-(SUMIFS(INDEX(dobások,,4),INDEX(dobások,,1),CC43)+SUMIFS(INDEX(fajok,,8),INDEX(fajok,,1),választott_faj)))+MAX(0,intelligencia-(SUMIFS(INDEX(dobások,,4),INDEX(dobások,,1),CD43)+SUMIFS(INDEX(fajok,,9),INDEX(fajok,,1),választott_faj)))+MAX(0,akaraterő-SUMIFS(INDEX(dobások,,4),INDEX(dobások,,1),CE43))+MAX(0,asztrál-(SUMIFS(INDEX(dobások,,4),INDEX(dobások,,1),CF43)+SUMIFS(INDEX(fajok,,10),INDEX(fajok,,1),választott_faj)))+MAX(0,érzékelés-SUMIFS(INDEX(dobások,,4),INDEX(dobások,,1),CG43))</f>
        <v>0</v>
      </c>
      <c r="BN43" s="12"/>
      <c r="BO43" s="12"/>
      <c r="BP43" s="12"/>
      <c r="BQ43" s="12"/>
      <c r="BR43" s="12"/>
      <c r="BS43" s="12"/>
      <c r="BT43" s="12"/>
      <c r="BU43" s="12" t="s">
        <v>262</v>
      </c>
      <c r="BV43" s="12" t="s">
        <v>262</v>
      </c>
      <c r="BW43" s="51"/>
      <c r="BX43" s="12" t="s">
        <v>131</v>
      </c>
      <c r="BY43" s="12" t="s">
        <v>129</v>
      </c>
      <c r="BZ43" s="12" t="s">
        <v>129</v>
      </c>
      <c r="CA43" s="12" t="s">
        <v>131</v>
      </c>
      <c r="CB43" s="12" t="s">
        <v>132</v>
      </c>
      <c r="CC43" s="12" t="s">
        <v>135</v>
      </c>
      <c r="CD43" s="12" t="s">
        <v>132</v>
      </c>
      <c r="CE43" s="12" t="s">
        <v>132</v>
      </c>
      <c r="CF43" s="12" t="s">
        <v>134</v>
      </c>
      <c r="CG43" s="12" t="s">
        <v>132</v>
      </c>
      <c r="CH43" s="10">
        <v>3</v>
      </c>
      <c r="CI43" s="10">
        <v>6</v>
      </c>
      <c r="CJ43" s="148"/>
      <c r="CK43" s="63"/>
    </row>
    <row r="44" spans="1:89" ht="15.75">
      <c r="A44" s="72" t="s">
        <v>246</v>
      </c>
      <c r="B44" s="28"/>
      <c r="C44" s="72" t="s">
        <v>254</v>
      </c>
      <c r="D44" s="10"/>
      <c r="E44" s="612" t="s">
        <v>704</v>
      </c>
      <c r="F44" s="613"/>
      <c r="G44" s="10"/>
      <c r="H44" s="612" t="str">
        <f>leutaril</f>
        <v>Leutaril sámánpap</v>
      </c>
      <c r="I44" s="613"/>
      <c r="J44" s="10"/>
      <c r="K44" s="10"/>
      <c r="L44" s="261" t="s">
        <v>297</v>
      </c>
      <c r="M44" s="33">
        <v>0</v>
      </c>
      <c r="N44" s="33">
        <v>161</v>
      </c>
      <c r="O44" s="33">
        <v>321</v>
      </c>
      <c r="P44" s="33">
        <v>641</v>
      </c>
      <c r="Q44" s="33">
        <v>1441</v>
      </c>
      <c r="R44" s="34">
        <v>2801</v>
      </c>
      <c r="S44" s="33">
        <v>5601</v>
      </c>
      <c r="T44" s="33">
        <v>10001</v>
      </c>
      <c r="U44" s="33">
        <v>20001</v>
      </c>
      <c r="V44" s="33">
        <v>40001</v>
      </c>
      <c r="W44" s="33">
        <v>60001</v>
      </c>
      <c r="X44" s="33">
        <v>80001</v>
      </c>
      <c r="Y44" s="34">
        <f>112001+MAX(0,SUMIFS(INDEX(választott_kasztok,,10),INDEX(választott_kasztok,,1),$L44)-13)*31200</f>
        <v>112001</v>
      </c>
      <c r="Z44" s="10">
        <v>9</v>
      </c>
      <c r="AA44" s="10">
        <v>17</v>
      </c>
      <c r="AB44" s="10">
        <v>67</v>
      </c>
      <c r="AC44" s="10">
        <v>15</v>
      </c>
      <c r="AD44" s="10">
        <f>MAX(11,SUMIFS(INDEX(választott_kasztok,,10),INDEX(választott_kasztok,,1),$L44)*11)</f>
        <v>11</v>
      </c>
      <c r="AE44" s="10">
        <f t="shared" ref="AE44:AF49" si="97">MAX(3,SUMIFS(INDEX(választott_kasztok,,10),INDEX(választott_kasztok,,1),$L44)*3)</f>
        <v>3</v>
      </c>
      <c r="AF44" s="10">
        <f t="shared" si="97"/>
        <v>3</v>
      </c>
      <c r="AG44" s="20">
        <f>IF(AND(többes_kaszt=iker_kaszt,váltás_kezdet=0,váltás_kezdet&lt;&gt;""),0,10)</f>
        <v>10</v>
      </c>
      <c r="AH44" s="10">
        <f>MAX(0,IF(választott_kaszt_1=$L44,IF(váltás_kezdet="",VLOOKUP($L44,választott_kasztok,10,FALSE)*14,MIN(VLOOKUP($L44,választott_kasztok,10,FALSE),váltás_kezdet)*14+IF(többes_kaszt=iker_kaszt,MAX(0,VLOOKUP($L44,választott_kasztok,10,FALSE)-váltás_kezdet),0)+IF(többes_kaszt=váltott_kaszt,MAX(0,váltás_kezdet-VLOOKUP($L44,választott_kasztok,10,FALSE))*14)),0)+IF(választott_kaszt_2=$L44,VLOOKUP($L44,választott_kasztok,10,FALSE)*IF(többes_kaszt=iker_kaszt,1,14),0))</f>
        <v>0</v>
      </c>
      <c r="AI44" s="10">
        <v>0</v>
      </c>
      <c r="AJ44" s="10">
        <v>7</v>
      </c>
      <c r="AK44" s="10">
        <v>6</v>
      </c>
      <c r="AL44" s="10">
        <f>MAX(1,SUMIFS(INDEX(választott_kasztok,,10),INDEX(választott_kasztok,,1),$L44))*(k6dobás+4)</f>
        <v>10</v>
      </c>
      <c r="AM44" s="10"/>
      <c r="AN44" s="20" t="str">
        <f>IF(OR(tanultAfTSZ&gt;0,tanultMfTSZ&gt;0),pyarroni,nincsen)</f>
        <v>nincs</v>
      </c>
      <c r="AO44" s="208" t="str">
        <f>IF(tanultMfkaszt=0,"00",IF(INDEX(választott_kasztok,tanultMfkaszt,1)=$L44,TEXT(tanultMfTSZ,"00"),"00"))&amp;IF(tanultAfkaszt=0,"00",IF(INDEX(választott_kasztok,tanultAfkaszt,1)=$L44,TEXT(tanultAfTSZ,"00"),"00"))&amp;"01"</f>
        <v>000001</v>
      </c>
      <c r="AP44" s="33">
        <v>0</v>
      </c>
      <c r="AQ44" s="56">
        <v>15</v>
      </c>
      <c r="AR44" s="56">
        <v>20</v>
      </c>
      <c r="AS44" s="56">
        <v>10</v>
      </c>
      <c r="AT44" s="56"/>
      <c r="AU44" s="56"/>
      <c r="AV44" s="56"/>
      <c r="AW44" s="56"/>
      <c r="AX44" s="56"/>
      <c r="AY44" s="56"/>
      <c r="AZ44" s="56"/>
      <c r="BA44" s="117">
        <f>112001+MAX(0,váltás_kezdet-13)*31200</f>
        <v>112001</v>
      </c>
      <c r="BB44" s="17">
        <f t="shared" si="86"/>
        <v>16</v>
      </c>
      <c r="BC44" s="17">
        <f t="shared" si="87"/>
        <v>13</v>
      </c>
      <c r="BD44" s="17">
        <f t="shared" si="88"/>
        <v>13</v>
      </c>
      <c r="BE44" s="17">
        <f t="shared" si="89"/>
        <v>14</v>
      </c>
      <c r="BF44" s="116">
        <f t="shared" si="90"/>
        <v>16</v>
      </c>
      <c r="BG44" s="17">
        <f t="shared" si="91"/>
        <v>11</v>
      </c>
      <c r="BH44" s="17">
        <f t="shared" si="92"/>
        <v>11</v>
      </c>
      <c r="BI44" s="17">
        <f t="shared" si="93"/>
        <v>13</v>
      </c>
      <c r="BJ44" s="17">
        <f t="shared" si="94"/>
        <v>11</v>
      </c>
      <c r="BK44" s="17">
        <f t="shared" si="95"/>
        <v>13</v>
      </c>
      <c r="BL44" s="17">
        <f t="shared" si="10"/>
        <v>0</v>
      </c>
      <c r="BM44" s="13">
        <f t="shared" si="96"/>
        <v>0</v>
      </c>
      <c r="BN44" s="12" t="s">
        <v>262</v>
      </c>
      <c r="BO44" s="12" t="s">
        <v>262</v>
      </c>
      <c r="BP44" s="12" t="s">
        <v>262</v>
      </c>
      <c r="BQ44" s="12" t="s">
        <v>262</v>
      </c>
      <c r="BR44" s="12"/>
      <c r="BS44" s="12"/>
      <c r="BT44" s="12"/>
      <c r="BU44" s="12"/>
      <c r="BV44" s="12"/>
      <c r="BW44" s="51"/>
      <c r="BX44" s="12" t="s">
        <v>134</v>
      </c>
      <c r="BY44" s="12" t="s">
        <v>131</v>
      </c>
      <c r="BZ44" s="12" t="s">
        <v>131</v>
      </c>
      <c r="CA44" s="12" t="s">
        <v>132</v>
      </c>
      <c r="CB44" s="12" t="s">
        <v>135</v>
      </c>
      <c r="CC44" s="12" t="s">
        <v>129</v>
      </c>
      <c r="CD44" s="12" t="s">
        <v>129</v>
      </c>
      <c r="CE44" s="12" t="s">
        <v>131</v>
      </c>
      <c r="CF44" s="12" t="s">
        <v>129</v>
      </c>
      <c r="CG44" s="12" t="s">
        <v>131</v>
      </c>
      <c r="CH44" s="10">
        <v>3</v>
      </c>
      <c r="CI44" s="10">
        <v>18</v>
      </c>
      <c r="CJ44" s="148"/>
      <c r="CK44" s="63"/>
    </row>
    <row r="45" spans="1:89">
      <c r="A45" s="72" t="s">
        <v>236</v>
      </c>
      <c r="B45" s="10"/>
      <c r="C45" s="72" t="s">
        <v>255</v>
      </c>
      <c r="D45" s="10"/>
      <c r="E45" s="612" t="s">
        <v>710</v>
      </c>
      <c r="F45" s="613"/>
      <c r="G45" s="10"/>
      <c r="H45" s="612" t="str">
        <f>ramkir</f>
        <v xml:space="preserve">Ramkir sámánpap </v>
      </c>
      <c r="I45" s="613"/>
      <c r="J45" s="10"/>
      <c r="K45" s="10"/>
      <c r="L45" s="10" t="s">
        <v>298</v>
      </c>
      <c r="M45" s="34">
        <v>0</v>
      </c>
      <c r="N45" s="34">
        <v>161</v>
      </c>
      <c r="O45" s="34">
        <v>331</v>
      </c>
      <c r="P45" s="34">
        <v>661</v>
      </c>
      <c r="Q45" s="34">
        <v>1301</v>
      </c>
      <c r="R45" s="34">
        <v>2601</v>
      </c>
      <c r="S45" s="34">
        <v>5001</v>
      </c>
      <c r="T45" s="34">
        <v>9001</v>
      </c>
      <c r="U45" s="34">
        <v>23001</v>
      </c>
      <c r="V45" s="34">
        <v>50001</v>
      </c>
      <c r="W45" s="34">
        <v>90001</v>
      </c>
      <c r="X45" s="34">
        <v>130001</v>
      </c>
      <c r="Y45" s="34">
        <f>165001+MAX(0,SUMIFS(INDEX(választott_kasztok,,10),INDEX(választott_kasztok,,1),$L45)-13)*50000</f>
        <v>165001</v>
      </c>
      <c r="Z45" s="20">
        <v>5</v>
      </c>
      <c r="AA45" s="20">
        <v>17</v>
      </c>
      <c r="AB45" s="20">
        <v>72</v>
      </c>
      <c r="AC45" s="20">
        <v>0</v>
      </c>
      <c r="AD45" s="10">
        <f>MAX(8,SUMIFS(INDEX(választott_kasztok,,10),INDEX(választott_kasztok,,1),$L45)*8)</f>
        <v>8</v>
      </c>
      <c r="AE45" s="10">
        <f t="shared" si="97"/>
        <v>3</v>
      </c>
      <c r="AF45" s="10">
        <f t="shared" si="97"/>
        <v>3</v>
      </c>
      <c r="AG45" s="20">
        <f>IF(AND(többes_kaszt=iker_kaszt,váltás_kezdet=0,váltás_kezdet&lt;&gt;""),0,3)</f>
        <v>3</v>
      </c>
      <c r="AH45" s="10">
        <f>MAX(0,IF(választott_kaszt_1=$L45,IF(váltás_kezdet="",VLOOKUP($L45,választott_kasztok,10,FALSE)*7,MIN(VLOOKUP($L45,választott_kasztok,10,FALSE),váltás_kezdet)*7+IF(többes_kaszt=iker_kaszt,MAX(0,VLOOKUP($L45,választott_kasztok,10,FALSE)-váltás_kezdet),0)+IF(többes_kaszt=váltott_kaszt,MAX(0,váltás_kezdet-VLOOKUP($L45,választott_kasztok,10,FALSE))*7)),0)+IF(választott_kaszt_2=$L45,VLOOKUP($L45,választott_kasztok,10,FALSE)*IF(többes_kaszt=iker_kaszt,1,7),0))</f>
        <v>0</v>
      </c>
      <c r="AI45" s="20">
        <v>0</v>
      </c>
      <c r="AJ45" s="20">
        <v>6</v>
      </c>
      <c r="AK45" s="20">
        <v>6</v>
      </c>
      <c r="AL45" s="10">
        <f>MAX(1,SUMIFS(INDEX(választott_kasztok,,10),INDEX(választott_kasztok,,1),$L45))*(k6dobás+2)</f>
        <v>8</v>
      </c>
      <c r="AM45" s="10">
        <f>MAX(9,MIN(1,SUMIFS(INDEX(választott_kasztok,,10),INDEX(választott_kasztok,,1),$L45))*9+MAX(0,SUMIFS(INDEX(választott_kasztok,,10),INDEX(választott_kasztok,,1),$L45)-1)*(6+ROUNDUP(k6dobás/2,0)))</f>
        <v>9</v>
      </c>
      <c r="AN45" s="20" t="s">
        <v>1183</v>
      </c>
      <c r="AO45" s="209"/>
      <c r="AP45" s="33">
        <v>0</v>
      </c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117">
        <f>165001+MAX(0,váltás_kezdet-13)*50000</f>
        <v>165001</v>
      </c>
      <c r="BB45" s="17">
        <f t="shared" si="86"/>
        <v>13</v>
      </c>
      <c r="BC45" s="17">
        <f t="shared" si="87"/>
        <v>11</v>
      </c>
      <c r="BD45" s="17">
        <f t="shared" si="88"/>
        <v>11</v>
      </c>
      <c r="BE45" s="17">
        <f t="shared" si="89"/>
        <v>13</v>
      </c>
      <c r="BF45" s="17">
        <f t="shared" si="90"/>
        <v>14</v>
      </c>
      <c r="BG45" s="116">
        <f t="shared" si="91"/>
        <v>18</v>
      </c>
      <c r="BH45" s="17">
        <f t="shared" si="92"/>
        <v>14</v>
      </c>
      <c r="BI45" s="17">
        <f t="shared" si="93"/>
        <v>14</v>
      </c>
      <c r="BJ45" s="17">
        <f t="shared" si="94"/>
        <v>16</v>
      </c>
      <c r="BK45" s="17">
        <f t="shared" si="95"/>
        <v>14</v>
      </c>
      <c r="BL45" s="17">
        <f t="shared" si="10"/>
        <v>0</v>
      </c>
      <c r="BM45" s="13">
        <f t="shared" si="96"/>
        <v>0</v>
      </c>
      <c r="BN45" s="12"/>
      <c r="BO45" s="12"/>
      <c r="BP45" s="12"/>
      <c r="BQ45" s="12"/>
      <c r="BR45" s="12"/>
      <c r="BS45" s="12"/>
      <c r="BT45" s="12"/>
      <c r="BU45" s="12" t="s">
        <v>262</v>
      </c>
      <c r="BV45" s="12" t="s">
        <v>262</v>
      </c>
      <c r="BW45" s="51"/>
      <c r="BX45" s="12" t="s">
        <v>131</v>
      </c>
      <c r="BY45" s="12" t="s">
        <v>129</v>
      </c>
      <c r="BZ45" s="12" t="s">
        <v>129</v>
      </c>
      <c r="CA45" s="12" t="s">
        <v>131</v>
      </c>
      <c r="CB45" s="12" t="s">
        <v>132</v>
      </c>
      <c r="CC45" s="12" t="s">
        <v>136</v>
      </c>
      <c r="CD45" s="12" t="s">
        <v>132</v>
      </c>
      <c r="CE45" s="12" t="s">
        <v>132</v>
      </c>
      <c r="CF45" s="12" t="s">
        <v>134</v>
      </c>
      <c r="CG45" s="12" t="s">
        <v>132</v>
      </c>
      <c r="CH45" s="10">
        <v>3</v>
      </c>
      <c r="CI45" s="10">
        <v>6</v>
      </c>
      <c r="CJ45" s="148"/>
      <c r="CK45" s="63"/>
    </row>
    <row r="46" spans="1:89" ht="15.75" thickBot="1">
      <c r="A46" s="72" t="s">
        <v>231</v>
      </c>
      <c r="B46" s="10"/>
      <c r="C46" s="72" t="s">
        <v>256</v>
      </c>
      <c r="D46" s="10"/>
      <c r="E46" s="612" t="s">
        <v>709</v>
      </c>
      <c r="F46" s="613"/>
      <c r="G46" s="10"/>
      <c r="H46" s="622" t="str">
        <f>tomatis</f>
        <v xml:space="preserve">Tomatis sámánpap </v>
      </c>
      <c r="I46" s="623"/>
      <c r="J46" s="10"/>
      <c r="K46" s="10"/>
      <c r="L46" s="261" t="s">
        <v>299</v>
      </c>
      <c r="M46" s="33">
        <v>0</v>
      </c>
      <c r="N46" s="33">
        <v>161</v>
      </c>
      <c r="O46" s="33">
        <v>321</v>
      </c>
      <c r="P46" s="33">
        <v>641</v>
      </c>
      <c r="Q46" s="33">
        <v>1441</v>
      </c>
      <c r="R46" s="34">
        <v>2801</v>
      </c>
      <c r="S46" s="33">
        <v>5601</v>
      </c>
      <c r="T46" s="33">
        <v>10001</v>
      </c>
      <c r="U46" s="33">
        <v>20001</v>
      </c>
      <c r="V46" s="33">
        <v>40001</v>
      </c>
      <c r="W46" s="33">
        <v>60001</v>
      </c>
      <c r="X46" s="33">
        <v>80001</v>
      </c>
      <c r="Y46" s="34">
        <f>112001+MAX(0,SUMIFS(INDEX(választott_kasztok,,10),INDEX(választott_kasztok,,1),$L46)-13)*31200</f>
        <v>112001</v>
      </c>
      <c r="Z46" s="10">
        <v>9</v>
      </c>
      <c r="AA46" s="10">
        <v>20</v>
      </c>
      <c r="AB46" s="10">
        <v>75</v>
      </c>
      <c r="AC46" s="10">
        <v>0</v>
      </c>
      <c r="AD46" s="37">
        <f>MAX(11,SUMIFS(INDEX(választott_kasztok,,10),INDEX(választott_kasztok,,1),$L46)*11+ROUNDDOWN(SUMIFS(INDEX(választott_kasztok,,10),INDEX(választott_kasztok,,1),$L46)/2,0)*3)</f>
        <v>11</v>
      </c>
      <c r="AE46" s="10">
        <f t="shared" si="97"/>
        <v>3</v>
      </c>
      <c r="AF46" s="10">
        <f t="shared" si="97"/>
        <v>3</v>
      </c>
      <c r="AG46" s="20">
        <f>IF(AND(többes_kaszt=iker_kaszt,váltás_kezdet=0,váltás_kezdet&lt;&gt;""),0,7)</f>
        <v>7</v>
      </c>
      <c r="AH46" s="10">
        <f>MAX(0,IF(választott_kaszt_1=$L46,IF(váltás_kezdet="",VLOOKUP($L46,választott_kasztok,10,FALSE)*9,MIN(VLOOKUP($L46,választott_kasztok,10,FALSE),váltás_kezdet)*9+IF(többes_kaszt=iker_kaszt,MAX(0,VLOOKUP($L46,választott_kasztok,10,FALSE)-váltás_kezdet),0)+IF(többes_kaszt=váltott_kaszt,MAX(0,váltás_kezdet-VLOOKUP($L46,választott_kasztok,10,FALSE))*9)),0)+IF(választott_kaszt_2=$L46,VLOOKUP($L46,választott_kasztok,10,FALSE)*IF(többes_kaszt=iker_kaszt,1,9),0))</f>
        <v>0</v>
      </c>
      <c r="AI46" s="10">
        <v>0</v>
      </c>
      <c r="AJ46" s="10">
        <v>7</v>
      </c>
      <c r="AK46" s="10">
        <v>6</v>
      </c>
      <c r="AL46" s="10">
        <f>MAX(1,SUMIFS(INDEX(választott_kasztok,,10),INDEX(választott_kasztok,,1),$L46))*(k6dobás+4)</f>
        <v>10</v>
      </c>
      <c r="AM46" s="10"/>
      <c r="AN46" s="20" t="str">
        <f>IF(OR(tanultAfTSZ&gt;0,tanultMfTSZ&gt;0),pyarroni,nincsen)</f>
        <v>nincs</v>
      </c>
      <c r="AO46" s="208" t="str">
        <f>IF(tanultMfkaszt=0,"00",IF(INDEX(választott_kasztok,tanultMfkaszt,1)=$L46,TEXT(tanultMfTSZ,"00"),"00"))&amp;IF(tanultAfkaszt=0,"00",IF(INDEX(választott_kasztok,tanultAfkaszt,1)=$L46,TEXT(tanultAfTSZ,"00"),"00"))&amp;"01"</f>
        <v>000001</v>
      </c>
      <c r="AP46" s="33">
        <v>0</v>
      </c>
      <c r="AQ46" s="56">
        <v>15</v>
      </c>
      <c r="AR46" s="56">
        <v>10</v>
      </c>
      <c r="AS46" s="56">
        <v>20</v>
      </c>
      <c r="AT46" s="56"/>
      <c r="AU46" s="56">
        <f>IF(SUMIFS(INDEX(választott_kasztok,,10),INDEX(választott_kasztok,,1),$L46)&gt;=6,30,0)</f>
        <v>0</v>
      </c>
      <c r="AV46" s="56"/>
      <c r="AW46" s="56"/>
      <c r="AX46" s="56"/>
      <c r="AY46" s="56"/>
      <c r="AZ46" s="56"/>
      <c r="BA46" s="117">
        <f>112001+MAX(0,váltás_kezdet-13)*31200</f>
        <v>112001</v>
      </c>
      <c r="BB46" s="17">
        <f t="shared" si="86"/>
        <v>16</v>
      </c>
      <c r="BC46" s="17">
        <f t="shared" si="87"/>
        <v>13</v>
      </c>
      <c r="BD46" s="17">
        <f t="shared" si="88"/>
        <v>13</v>
      </c>
      <c r="BE46" s="17">
        <f t="shared" si="89"/>
        <v>14</v>
      </c>
      <c r="BF46" s="116">
        <f t="shared" si="90"/>
        <v>16</v>
      </c>
      <c r="BG46" s="17">
        <f t="shared" si="91"/>
        <v>11</v>
      </c>
      <c r="BH46" s="17">
        <f t="shared" si="92"/>
        <v>11</v>
      </c>
      <c r="BI46" s="17">
        <f t="shared" si="93"/>
        <v>13</v>
      </c>
      <c r="BJ46" s="17">
        <f t="shared" si="94"/>
        <v>11</v>
      </c>
      <c r="BK46" s="17">
        <f t="shared" si="95"/>
        <v>13</v>
      </c>
      <c r="BL46" s="17">
        <f t="shared" ref="BL46:BL100" si="98">MAX(0,SUM(tulajdonságok)-SUM($BB46:$BK46))</f>
        <v>0</v>
      </c>
      <c r="BM46" s="13">
        <f t="shared" si="96"/>
        <v>0</v>
      </c>
      <c r="BN46" s="12" t="s">
        <v>262</v>
      </c>
      <c r="BO46" s="12" t="s">
        <v>262</v>
      </c>
      <c r="BP46" s="12" t="s">
        <v>262</v>
      </c>
      <c r="BQ46" s="12" t="s">
        <v>262</v>
      </c>
      <c r="BR46" s="12"/>
      <c r="BS46" s="12"/>
      <c r="BT46" s="12"/>
      <c r="BU46" s="12"/>
      <c r="BV46" s="12"/>
      <c r="BW46" s="51"/>
      <c r="BX46" s="12" t="s">
        <v>134</v>
      </c>
      <c r="BY46" s="12" t="s">
        <v>131</v>
      </c>
      <c r="BZ46" s="12" t="s">
        <v>131</v>
      </c>
      <c r="CA46" s="12" t="s">
        <v>132</v>
      </c>
      <c r="CB46" s="12" t="s">
        <v>135</v>
      </c>
      <c r="CC46" s="12" t="s">
        <v>129</v>
      </c>
      <c r="CD46" s="12" t="s">
        <v>129</v>
      </c>
      <c r="CE46" s="12" t="s">
        <v>131</v>
      </c>
      <c r="CF46" s="12" t="s">
        <v>129</v>
      </c>
      <c r="CG46" s="12" t="s">
        <v>131</v>
      </c>
      <c r="CH46" s="10">
        <v>3</v>
      </c>
      <c r="CI46" s="10">
        <v>18</v>
      </c>
      <c r="CJ46" s="148"/>
      <c r="CK46" s="63"/>
    </row>
    <row r="47" spans="1:89" ht="15.75" thickBot="1">
      <c r="A47" s="72" t="s">
        <v>247</v>
      </c>
      <c r="B47" s="10"/>
      <c r="C47" s="72" t="s">
        <v>257</v>
      </c>
      <c r="D47" s="10"/>
      <c r="E47" s="612" t="s">
        <v>706</v>
      </c>
      <c r="F47" s="613"/>
      <c r="G47" s="10"/>
      <c r="H47" s="10"/>
      <c r="I47" s="10"/>
      <c r="J47" s="10"/>
      <c r="K47" s="10"/>
      <c r="L47" s="261" t="s">
        <v>300</v>
      </c>
      <c r="M47" s="33">
        <v>0</v>
      </c>
      <c r="N47" s="33">
        <v>161</v>
      </c>
      <c r="O47" s="33">
        <v>321</v>
      </c>
      <c r="P47" s="33">
        <v>641</v>
      </c>
      <c r="Q47" s="33">
        <v>1441</v>
      </c>
      <c r="R47" s="34">
        <v>2801</v>
      </c>
      <c r="S47" s="33">
        <v>5601</v>
      </c>
      <c r="T47" s="33">
        <v>10001</v>
      </c>
      <c r="U47" s="33">
        <v>20001</v>
      </c>
      <c r="V47" s="33">
        <v>40001</v>
      </c>
      <c r="W47" s="33">
        <v>60001</v>
      </c>
      <c r="X47" s="33">
        <v>80001</v>
      </c>
      <c r="Y47" s="34">
        <f>112001+MAX(0,SUMIFS(INDEX(választott_kasztok,,10),INDEX(választott_kasztok,,1),$L47)-13)*31200</f>
        <v>112001</v>
      </c>
      <c r="Z47" s="10">
        <v>9</v>
      </c>
      <c r="AA47" s="10">
        <v>20</v>
      </c>
      <c r="AB47" s="10">
        <v>75</v>
      </c>
      <c r="AC47" s="10">
        <v>15</v>
      </c>
      <c r="AD47" s="10">
        <f t="shared" ref="AD47:AD53" si="99">MAX(11,SUMIFS(INDEX(választott_kasztok,,10),INDEX(választott_kasztok,,1),$L47)*11)</f>
        <v>11</v>
      </c>
      <c r="AE47" s="10">
        <f t="shared" si="97"/>
        <v>3</v>
      </c>
      <c r="AF47" s="10">
        <f t="shared" si="97"/>
        <v>3</v>
      </c>
      <c r="AG47" s="20">
        <f>IF(AND(többes_kaszt=iker_kaszt,váltás_kezdet=0,váltás_kezdet&lt;&gt;""),0,10)</f>
        <v>10</v>
      </c>
      <c r="AH47" s="10">
        <f>MAX(0,IF(választott_kaszt_1=$L47,IF(váltás_kezdet="",VLOOKUP($L47,választott_kasztok,10,FALSE)*14,MIN(VLOOKUP($L47,választott_kasztok,10,FALSE),váltás_kezdet)*14+IF(többes_kaszt=iker_kaszt,MAX(0,VLOOKUP($L47,választott_kasztok,10,FALSE)-váltás_kezdet),0)+IF(többes_kaszt=váltott_kaszt,MAX(0,váltás_kezdet-VLOOKUP($L47,választott_kasztok,10,FALSE))*14)),0)+IF(választott_kaszt_2=$L47,VLOOKUP($L47,választott_kasztok,10,FALSE)*IF(többes_kaszt=iker_kaszt,1,14),0))</f>
        <v>0</v>
      </c>
      <c r="AI47" s="10">
        <v>0</v>
      </c>
      <c r="AJ47" s="10">
        <v>7</v>
      </c>
      <c r="AK47" s="10">
        <v>6</v>
      </c>
      <c r="AL47" s="10">
        <f>MAX(1,SUMIFS(INDEX(választott_kasztok,,10),INDEX(választott_kasztok,,1),$L47))*(k6dobás+4)</f>
        <v>10</v>
      </c>
      <c r="AM47" s="10"/>
      <c r="AN47" s="20" t="str">
        <f>IF(OR(tanultAfTSZ&gt;0,tanultMfTSZ&gt;0),pyarroni,nincsen)</f>
        <v>nincs</v>
      </c>
      <c r="AO47" s="208" t="str">
        <f>IF(tanultMfkaszt=0,"00",IF(INDEX(választott_kasztok,tanultMfkaszt,1)=$L47,TEXT(tanultMfTSZ,"00"),"00"))&amp;IF(tanultAfkaszt=0,"00",IF(INDEX(választott_kasztok,tanultAfkaszt,1)=$L47,TEXT(tanultAfTSZ,"00"),"00"))&amp;"01"</f>
        <v>000001</v>
      </c>
      <c r="AP47" s="33">
        <v>0</v>
      </c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117">
        <f>112001+MAX(0,váltás_kezdet-13)*31200</f>
        <v>112001</v>
      </c>
      <c r="BB47" s="17">
        <f t="shared" si="86"/>
        <v>16</v>
      </c>
      <c r="BC47" s="17">
        <f t="shared" si="87"/>
        <v>13</v>
      </c>
      <c r="BD47" s="17">
        <f t="shared" si="88"/>
        <v>13</v>
      </c>
      <c r="BE47" s="17">
        <f t="shared" si="89"/>
        <v>14</v>
      </c>
      <c r="BF47" s="116">
        <f t="shared" si="90"/>
        <v>16</v>
      </c>
      <c r="BG47" s="17">
        <f t="shared" si="91"/>
        <v>11</v>
      </c>
      <c r="BH47" s="17">
        <f t="shared" si="92"/>
        <v>11</v>
      </c>
      <c r="BI47" s="17">
        <f t="shared" si="93"/>
        <v>13</v>
      </c>
      <c r="BJ47" s="17">
        <f t="shared" si="94"/>
        <v>11</v>
      </c>
      <c r="BK47" s="17">
        <f t="shared" si="95"/>
        <v>13</v>
      </c>
      <c r="BL47" s="17">
        <f t="shared" si="98"/>
        <v>0</v>
      </c>
      <c r="BM47" s="13">
        <f t="shared" si="96"/>
        <v>0</v>
      </c>
      <c r="BN47" s="12" t="s">
        <v>262</v>
      </c>
      <c r="BO47" s="12" t="s">
        <v>262</v>
      </c>
      <c r="BP47" s="12" t="s">
        <v>262</v>
      </c>
      <c r="BQ47" s="12" t="s">
        <v>262</v>
      </c>
      <c r="BR47" s="12"/>
      <c r="BS47" s="12"/>
      <c r="BT47" s="12"/>
      <c r="BU47" s="12"/>
      <c r="BV47" s="12"/>
      <c r="BW47" s="51"/>
      <c r="BX47" s="12" t="s">
        <v>134</v>
      </c>
      <c r="BY47" s="12" t="s">
        <v>131</v>
      </c>
      <c r="BZ47" s="12" t="s">
        <v>131</v>
      </c>
      <c r="CA47" s="12" t="s">
        <v>132</v>
      </c>
      <c r="CB47" s="12" t="s">
        <v>135</v>
      </c>
      <c r="CC47" s="12" t="s">
        <v>129</v>
      </c>
      <c r="CD47" s="12" t="s">
        <v>129</v>
      </c>
      <c r="CE47" s="12" t="s">
        <v>131</v>
      </c>
      <c r="CF47" s="12" t="s">
        <v>129</v>
      </c>
      <c r="CG47" s="12" t="s">
        <v>131</v>
      </c>
      <c r="CH47" s="10">
        <v>3</v>
      </c>
      <c r="CI47" s="10">
        <v>18</v>
      </c>
      <c r="CJ47" s="148"/>
      <c r="CK47" s="63"/>
    </row>
    <row r="48" spans="1:89" ht="15.75">
      <c r="A48" s="72" t="s">
        <v>248</v>
      </c>
      <c r="B48" s="10"/>
      <c r="C48" s="72" t="s">
        <v>260</v>
      </c>
      <c r="D48" s="10"/>
      <c r="E48" s="612" t="s">
        <v>713</v>
      </c>
      <c r="F48" s="613"/>
      <c r="G48" s="10"/>
      <c r="H48" s="616" t="s">
        <v>1195</v>
      </c>
      <c r="I48" s="617"/>
      <c r="J48" s="10"/>
      <c r="K48" s="10"/>
      <c r="L48" s="261" t="s">
        <v>301</v>
      </c>
      <c r="M48" s="33">
        <v>0</v>
      </c>
      <c r="N48" s="33">
        <v>161</v>
      </c>
      <c r="O48" s="33">
        <v>321</v>
      </c>
      <c r="P48" s="33">
        <v>641</v>
      </c>
      <c r="Q48" s="33">
        <v>1441</v>
      </c>
      <c r="R48" s="34">
        <v>2801</v>
      </c>
      <c r="S48" s="33">
        <v>5601</v>
      </c>
      <c r="T48" s="33">
        <v>10001</v>
      </c>
      <c r="U48" s="33">
        <v>20001</v>
      </c>
      <c r="V48" s="33">
        <v>40001</v>
      </c>
      <c r="W48" s="33">
        <v>60001</v>
      </c>
      <c r="X48" s="33">
        <v>80001</v>
      </c>
      <c r="Y48" s="34">
        <f>112001+MAX(0,SUMIFS(INDEX(választott_kasztok,,10),INDEX(választott_kasztok,,1),$L48)-13)*31200</f>
        <v>112001</v>
      </c>
      <c r="Z48" s="10">
        <v>9</v>
      </c>
      <c r="AA48" s="10">
        <v>20</v>
      </c>
      <c r="AB48" s="10">
        <v>75</v>
      </c>
      <c r="AC48" s="10">
        <v>0</v>
      </c>
      <c r="AD48" s="10">
        <f t="shared" si="99"/>
        <v>11</v>
      </c>
      <c r="AE48" s="10">
        <f t="shared" si="97"/>
        <v>3</v>
      </c>
      <c r="AF48" s="10">
        <f t="shared" si="97"/>
        <v>3</v>
      </c>
      <c r="AG48" s="20">
        <f>IF(AND(többes_kaszt=iker_kaszt,váltás_kezdet=0,váltás_kezdet&lt;&gt;""),0,10)</f>
        <v>10</v>
      </c>
      <c r="AH48" s="10">
        <f>MAX(0,IF(választott_kaszt_1=$L48,IF(váltás_kezdet="",VLOOKUP($L48,választott_kasztok,10,FALSE)*14,MIN(VLOOKUP($L48,választott_kasztok,10,FALSE),váltás_kezdet)*14+IF(többes_kaszt=iker_kaszt,MAX(0,VLOOKUP($L48,választott_kasztok,10,FALSE)-váltás_kezdet),0)+IF(többes_kaszt=váltott_kaszt,MAX(0,váltás_kezdet-VLOOKUP($L48,választott_kasztok,10,FALSE))*14)),0)+IF(választott_kaszt_2=$L48,VLOOKUP($L48,választott_kasztok,10,FALSE)*IF(többes_kaszt=iker_kaszt,1,14),0))</f>
        <v>0</v>
      </c>
      <c r="AI48" s="10">
        <v>0</v>
      </c>
      <c r="AJ48" s="10">
        <v>7</v>
      </c>
      <c r="AK48" s="10">
        <v>6</v>
      </c>
      <c r="AL48" s="10">
        <f>MAX(1,SUMIFS(INDEX(választott_kasztok,,10),INDEX(választott_kasztok,,1),$L48))*(k6dobás+4)</f>
        <v>10</v>
      </c>
      <c r="AM48" s="10"/>
      <c r="AN48" s="20" t="str">
        <f>IF(OR(tanultAfTSZ&gt;0,tanultMfTSZ&gt;0),pyarroni,nincsen)</f>
        <v>nincs</v>
      </c>
      <c r="AO48" s="208" t="str">
        <f>IF(tanultMfkaszt=0,"00",IF(INDEX(választott_kasztok,tanultMfkaszt,1)=$L48,TEXT(tanultMfTSZ,"00"),"00"))&amp;IF(tanultAfkaszt=0,"00",IF(INDEX(választott_kasztok,tanultAfkaszt,1)=$L48,TEXT(tanultAfTSZ,"00"),"00"))&amp;"01"</f>
        <v>000001</v>
      </c>
      <c r="AP48" s="33">
        <v>0</v>
      </c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117">
        <f>112001+MAX(0,váltás_kezdet-13)*31200</f>
        <v>112001</v>
      </c>
      <c r="BB48" s="17">
        <f t="shared" si="86"/>
        <v>16</v>
      </c>
      <c r="BC48" s="17">
        <f t="shared" si="87"/>
        <v>13</v>
      </c>
      <c r="BD48" s="17">
        <f t="shared" si="88"/>
        <v>13</v>
      </c>
      <c r="BE48" s="17">
        <f t="shared" si="89"/>
        <v>14</v>
      </c>
      <c r="BF48" s="116">
        <f t="shared" si="90"/>
        <v>16</v>
      </c>
      <c r="BG48" s="17">
        <f t="shared" si="91"/>
        <v>11</v>
      </c>
      <c r="BH48" s="17">
        <f t="shared" si="92"/>
        <v>11</v>
      </c>
      <c r="BI48" s="17">
        <f t="shared" si="93"/>
        <v>13</v>
      </c>
      <c r="BJ48" s="17">
        <f t="shared" si="94"/>
        <v>11</v>
      </c>
      <c r="BK48" s="17">
        <f t="shared" si="95"/>
        <v>13</v>
      </c>
      <c r="BL48" s="17">
        <f t="shared" si="98"/>
        <v>0</v>
      </c>
      <c r="BM48" s="13">
        <f t="shared" si="96"/>
        <v>0</v>
      </c>
      <c r="BN48" s="12" t="s">
        <v>262</v>
      </c>
      <c r="BO48" s="12" t="s">
        <v>262</v>
      </c>
      <c r="BP48" s="12" t="s">
        <v>262</v>
      </c>
      <c r="BQ48" s="12" t="s">
        <v>262</v>
      </c>
      <c r="BR48" s="12"/>
      <c r="BS48" s="12"/>
      <c r="BT48" s="12"/>
      <c r="BU48" s="12"/>
      <c r="BV48" s="12"/>
      <c r="BW48" s="51"/>
      <c r="BX48" s="12" t="s">
        <v>134</v>
      </c>
      <c r="BY48" s="12" t="s">
        <v>131</v>
      </c>
      <c r="BZ48" s="12" t="s">
        <v>131</v>
      </c>
      <c r="CA48" s="12" t="s">
        <v>132</v>
      </c>
      <c r="CB48" s="12" t="s">
        <v>135</v>
      </c>
      <c r="CC48" s="12" t="s">
        <v>129</v>
      </c>
      <c r="CD48" s="12" t="s">
        <v>129</v>
      </c>
      <c r="CE48" s="12" t="s">
        <v>131</v>
      </c>
      <c r="CF48" s="12" t="s">
        <v>129</v>
      </c>
      <c r="CG48" s="12" t="s">
        <v>131</v>
      </c>
      <c r="CH48" s="10">
        <v>3</v>
      </c>
      <c r="CI48" s="10">
        <v>18</v>
      </c>
      <c r="CJ48" s="148"/>
      <c r="CK48" s="63"/>
    </row>
    <row r="49" spans="1:89">
      <c r="A49" s="72" t="s">
        <v>241</v>
      </c>
      <c r="B49" s="10"/>
      <c r="C49" s="72" t="s">
        <v>258</v>
      </c>
      <c r="D49" s="10"/>
      <c r="E49" s="612" t="s">
        <v>714</v>
      </c>
      <c r="F49" s="613"/>
      <c r="G49" s="10"/>
      <c r="H49" s="646" t="str">
        <f>nomád_harcos</f>
        <v>Nomád harcos</v>
      </c>
      <c r="I49" s="621"/>
      <c r="J49" s="10"/>
      <c r="K49" s="10"/>
      <c r="L49" s="261" t="s">
        <v>302</v>
      </c>
      <c r="M49" s="33">
        <v>0</v>
      </c>
      <c r="N49" s="33">
        <v>161</v>
      </c>
      <c r="O49" s="33">
        <v>321</v>
      </c>
      <c r="P49" s="33">
        <v>641</v>
      </c>
      <c r="Q49" s="33">
        <v>1441</v>
      </c>
      <c r="R49" s="34">
        <v>2801</v>
      </c>
      <c r="S49" s="33">
        <v>5601</v>
      </c>
      <c r="T49" s="33">
        <v>10001</v>
      </c>
      <c r="U49" s="33">
        <v>20001</v>
      </c>
      <c r="V49" s="33">
        <v>40001</v>
      </c>
      <c r="W49" s="33">
        <v>60001</v>
      </c>
      <c r="X49" s="33">
        <v>80001</v>
      </c>
      <c r="Y49" s="34">
        <f>112001+MAX(0,SUMIFS(INDEX(választott_kasztok,,10),INDEX(választott_kasztok,,1),$L49)-13)*31200</f>
        <v>112001</v>
      </c>
      <c r="Z49" s="10">
        <v>9</v>
      </c>
      <c r="AA49" s="10">
        <v>20</v>
      </c>
      <c r="AB49" s="10">
        <v>75</v>
      </c>
      <c r="AC49" s="10">
        <v>0</v>
      </c>
      <c r="AD49" s="10">
        <f t="shared" si="99"/>
        <v>11</v>
      </c>
      <c r="AE49" s="10">
        <f t="shared" si="97"/>
        <v>3</v>
      </c>
      <c r="AF49" s="10">
        <f t="shared" si="97"/>
        <v>3</v>
      </c>
      <c r="AG49" s="20">
        <f>IF(AND(többes_kaszt=iker_kaszt,váltás_kezdet=0,váltás_kezdet&lt;&gt;""),0,10)</f>
        <v>10</v>
      </c>
      <c r="AH49" s="10">
        <f>MAX(0,IF(választott_kaszt_1=$L49,IF(váltás_kezdet="",VLOOKUP($L49,választott_kasztok,10,FALSE)*14,MIN(VLOOKUP($L49,választott_kasztok,10,FALSE),váltás_kezdet)*14+IF(többes_kaszt=iker_kaszt,MAX(0,VLOOKUP($L49,választott_kasztok,10,FALSE)-váltás_kezdet),0)+IF(többes_kaszt=váltott_kaszt,MAX(0,váltás_kezdet-VLOOKUP($L49,választott_kasztok,10,FALSE))*14)),0)+IF(választott_kaszt_2=$L49,VLOOKUP($L49,választott_kasztok,10,FALSE)*IF(többes_kaszt=iker_kaszt,1,14),0))</f>
        <v>0</v>
      </c>
      <c r="AI49" s="10">
        <v>0</v>
      </c>
      <c r="AJ49" s="10">
        <v>7</v>
      </c>
      <c r="AK49" s="10">
        <v>6</v>
      </c>
      <c r="AL49" s="10">
        <f>MAX(1,SUMIFS(INDEX(választott_kasztok,,10),INDEX(választott_kasztok,,1),$L49))*(k6dobás+4)</f>
        <v>10</v>
      </c>
      <c r="AM49" s="10"/>
      <c r="AN49" s="20" t="str">
        <f>IF(OR(tanultAfTSZ&gt;0,tanultMfTSZ&gt;0),pyarroni,nincsen)</f>
        <v>nincs</v>
      </c>
      <c r="AO49" s="208" t="str">
        <f>IF(tanultMfkaszt=0,"00",IF(INDEX(választott_kasztok,tanultMfkaszt,1)=$L49,TEXT(tanultMfTSZ,"00"),"00"))&amp;IF(tanultAfkaszt=0,"00",IF(INDEX(választott_kasztok,tanultAfkaszt,1)=$L49,TEXT(tanultAfTSZ,"00"),"00"))&amp;"01"</f>
        <v>000001</v>
      </c>
      <c r="AP49" s="33">
        <v>0</v>
      </c>
      <c r="AQ49" s="56"/>
      <c r="AR49" s="56">
        <v>15</v>
      </c>
      <c r="AS49" s="56">
        <v>5</v>
      </c>
      <c r="AT49" s="56"/>
      <c r="AU49" s="56"/>
      <c r="AV49" s="56"/>
      <c r="AW49" s="56"/>
      <c r="AX49" s="56"/>
      <c r="AY49" s="56"/>
      <c r="AZ49" s="56"/>
      <c r="BA49" s="117">
        <f>112001+MAX(0,váltás_kezdet-13)*31200</f>
        <v>112001</v>
      </c>
      <c r="BB49" s="17">
        <f t="shared" si="86"/>
        <v>16</v>
      </c>
      <c r="BC49" s="17">
        <f t="shared" si="87"/>
        <v>13</v>
      </c>
      <c r="BD49" s="17">
        <f t="shared" si="88"/>
        <v>13</v>
      </c>
      <c r="BE49" s="17">
        <f t="shared" si="89"/>
        <v>14</v>
      </c>
      <c r="BF49" s="116">
        <f t="shared" si="90"/>
        <v>16</v>
      </c>
      <c r="BG49" s="17">
        <f t="shared" si="91"/>
        <v>11</v>
      </c>
      <c r="BH49" s="17">
        <f t="shared" si="92"/>
        <v>11</v>
      </c>
      <c r="BI49" s="17">
        <f t="shared" si="93"/>
        <v>13</v>
      </c>
      <c r="BJ49" s="17">
        <f t="shared" si="94"/>
        <v>11</v>
      </c>
      <c r="BK49" s="17">
        <f t="shared" si="95"/>
        <v>13</v>
      </c>
      <c r="BL49" s="17">
        <f t="shared" si="98"/>
        <v>0</v>
      </c>
      <c r="BM49" s="13">
        <f t="shared" si="96"/>
        <v>0</v>
      </c>
      <c r="BN49" s="12" t="s">
        <v>262</v>
      </c>
      <c r="BO49" s="12" t="s">
        <v>262</v>
      </c>
      <c r="BP49" s="12" t="s">
        <v>262</v>
      </c>
      <c r="BQ49" s="12" t="s">
        <v>262</v>
      </c>
      <c r="BR49" s="12"/>
      <c r="BS49" s="12"/>
      <c r="BT49" s="12"/>
      <c r="BU49" s="12"/>
      <c r="BV49" s="12"/>
      <c r="BW49" s="51"/>
      <c r="BX49" s="12" t="s">
        <v>134</v>
      </c>
      <c r="BY49" s="12" t="s">
        <v>131</v>
      </c>
      <c r="BZ49" s="12" t="s">
        <v>131</v>
      </c>
      <c r="CA49" s="12" t="s">
        <v>132</v>
      </c>
      <c r="CB49" s="12" t="s">
        <v>135</v>
      </c>
      <c r="CC49" s="12" t="s">
        <v>129</v>
      </c>
      <c r="CD49" s="12" t="s">
        <v>129</v>
      </c>
      <c r="CE49" s="12" t="s">
        <v>131</v>
      </c>
      <c r="CF49" s="12" t="s">
        <v>129</v>
      </c>
      <c r="CG49" s="12" t="s">
        <v>131</v>
      </c>
      <c r="CH49" s="10">
        <v>3</v>
      </c>
      <c r="CI49" s="10">
        <v>18</v>
      </c>
      <c r="CJ49" s="148"/>
      <c r="CK49" s="63"/>
    </row>
    <row r="50" spans="1:89" ht="15.75" thickBot="1">
      <c r="A50" s="72" t="s">
        <v>242</v>
      </c>
      <c r="B50" s="10"/>
      <c r="C50" s="72" t="s">
        <v>259</v>
      </c>
      <c r="D50" s="10"/>
      <c r="E50" s="612" t="s">
        <v>705</v>
      </c>
      <c r="F50" s="613"/>
      <c r="G50" s="10"/>
      <c r="H50" s="622" t="str">
        <f>nomád_sámán</f>
        <v>Nomád sámán</v>
      </c>
      <c r="I50" s="623"/>
      <c r="J50" s="10"/>
      <c r="K50" s="10"/>
      <c r="L50" s="264" t="s">
        <v>25</v>
      </c>
      <c r="M50" s="33">
        <v>0</v>
      </c>
      <c r="N50" s="33">
        <v>191</v>
      </c>
      <c r="O50" s="33">
        <v>401</v>
      </c>
      <c r="P50" s="33">
        <v>901</v>
      </c>
      <c r="Q50" s="33">
        <v>1801</v>
      </c>
      <c r="R50" s="33">
        <v>3501</v>
      </c>
      <c r="S50" s="33">
        <v>7501</v>
      </c>
      <c r="T50" s="33">
        <v>15001</v>
      </c>
      <c r="U50" s="33">
        <v>30001</v>
      </c>
      <c r="V50" s="33">
        <v>60001</v>
      </c>
      <c r="W50" s="33">
        <v>110001</v>
      </c>
      <c r="X50" s="33">
        <v>160001</v>
      </c>
      <c r="Y50" s="34">
        <f>220001+MAX(0,SUMIFS(INDEX(választott_kasztok,,10),INDEX(választott_kasztok,,1),$L50)-13)*60000</f>
        <v>220001</v>
      </c>
      <c r="Z50" s="37">
        <f>10+ROUNDDOWN(SUMIFS(INDEX(választott_kasztok,,10),INDEX(választott_kasztok,,1),$L50)/2,0)</f>
        <v>10</v>
      </c>
      <c r="AA50" s="10">
        <v>20</v>
      </c>
      <c r="AB50" s="10">
        <v>75</v>
      </c>
      <c r="AC50" s="10">
        <v>0</v>
      </c>
      <c r="AD50" s="10">
        <f t="shared" si="99"/>
        <v>11</v>
      </c>
      <c r="AE50" s="10">
        <f t="shared" ref="AE50:AF53" si="100">MAX(4,SUMIFS(INDEX(választott_kasztok,,10),INDEX(választott_kasztok,,1),$L50)*4)</f>
        <v>4</v>
      </c>
      <c r="AF50" s="10">
        <f t="shared" si="100"/>
        <v>4</v>
      </c>
      <c r="AG50" s="20">
        <f>IF(AND(többes_kaszt=iker_kaszt,váltás_kezdet=0,váltás_kezdet&lt;&gt;""),0,3)</f>
        <v>3</v>
      </c>
      <c r="AH50" s="10">
        <f>MAX(0,IF(választott_kaszt_1=$L50,IF(váltás_kezdet="",VLOOKUP($L50,választott_kasztok,10,FALSE)*5,MIN(VLOOKUP($L50,választott_kasztok,10,FALSE),váltás_kezdet)*5+IF(többes_kaszt=iker_kaszt,MAX(0,VLOOKUP($L50,választott_kasztok,10,FALSE)-váltás_kezdet),0)+IF(többes_kaszt=váltott_kaszt,MAX(0,váltás_kezdet-VLOOKUP($L50,választott_kasztok,10,FALSE))*5)),0)+IF(választott_kaszt_2=$L50,VLOOKUP($L50,választott_kasztok,10,FALSE)*IF(többes_kaszt=iker_kaszt,1,5),0))</f>
        <v>0</v>
      </c>
      <c r="AI50" s="10">
        <f>MAX(20,IF(AND(többes_kaszt=váltott_kaszt,választott_kaszt_1=$L50),váltás_kezdet*20,SUMIFS(INDEX(választott_kasztok,,10),INDEX(választott_kasztok,,1),$L50)*20))</f>
        <v>20</v>
      </c>
      <c r="AJ50" s="10">
        <v>6</v>
      </c>
      <c r="AK50" s="10">
        <v>7</v>
      </c>
      <c r="AL50" s="10">
        <f>MAX(1,SUMIFS(INDEX(választott_kasztok,,10),INDEX(választott_kasztok,,1),$L50))*(k6dobás+5)</f>
        <v>11</v>
      </c>
      <c r="AM50" s="10"/>
      <c r="AN50" s="20" t="s">
        <v>1183</v>
      </c>
      <c r="AO50" s="209" t="str">
        <f>TEXT(IF(tanultMfkaszt=0,IF(SUMIFS(INDEX(választott_kasztok,,10),INDEX(választott_kasztok,,1),$L50)&lt;5,0,5),IF(INDEX(választott_kasztok,tanultMfkaszt,1)=$L50,IF(OR(tanultMfTSZ=0,tanultMfTSZ&gt;MIN(5,SUMIFS(INDEX(választott_kasztok,,10),INDEX(választott_kasztok,,1),$L50))),IF(SUMIFS(INDEX(választott_kasztok,,10),INDEX(választott_kasztok,,1),$L50)&lt;5,0,5),MIN(5,tanultMfTSZ)),0)),"00")&amp;"0101"</f>
        <v>000101</v>
      </c>
      <c r="AP50" s="33">
        <v>0</v>
      </c>
      <c r="AQ50" s="56">
        <v>30</v>
      </c>
      <c r="AR50" s="56">
        <v>15</v>
      </c>
      <c r="AS50" s="56">
        <v>15</v>
      </c>
      <c r="AT50" s="56">
        <v>20</v>
      </c>
      <c r="AU50" s="56">
        <v>25</v>
      </c>
      <c r="AV50" s="56"/>
      <c r="AW50" s="56"/>
      <c r="AX50" s="56">
        <v>10</v>
      </c>
      <c r="AY50" s="56"/>
      <c r="AZ50" s="56"/>
      <c r="BA50" s="117">
        <f>220001+MAX(0,váltás_kezdet-13)*60000</f>
        <v>220001</v>
      </c>
      <c r="BB50" s="17">
        <f t="shared" si="86"/>
        <v>13</v>
      </c>
      <c r="BC50" s="17">
        <f t="shared" si="87"/>
        <v>16</v>
      </c>
      <c r="BD50" s="17">
        <f t="shared" si="88"/>
        <v>14</v>
      </c>
      <c r="BE50" s="17">
        <f t="shared" si="89"/>
        <v>16</v>
      </c>
      <c r="BF50" s="116">
        <f t="shared" si="90"/>
        <v>16</v>
      </c>
      <c r="BG50" s="17">
        <f t="shared" si="91"/>
        <v>10</v>
      </c>
      <c r="BH50" s="17">
        <f t="shared" si="92"/>
        <v>11</v>
      </c>
      <c r="BI50" s="17">
        <f t="shared" si="93"/>
        <v>14</v>
      </c>
      <c r="BJ50" s="17">
        <f t="shared" si="94"/>
        <v>13</v>
      </c>
      <c r="BK50" s="17">
        <f t="shared" si="95"/>
        <v>16</v>
      </c>
      <c r="BL50" s="17">
        <f t="shared" si="98"/>
        <v>0</v>
      </c>
      <c r="BM50" s="13">
        <f t="shared" si="96"/>
        <v>0</v>
      </c>
      <c r="BN50" s="12"/>
      <c r="BO50" s="12" t="s">
        <v>262</v>
      </c>
      <c r="BP50" s="12"/>
      <c r="BQ50" s="12" t="s">
        <v>262</v>
      </c>
      <c r="BR50" s="12"/>
      <c r="BS50" s="12"/>
      <c r="BT50" s="12"/>
      <c r="BU50" s="12"/>
      <c r="BV50" s="12"/>
      <c r="BW50" s="51"/>
      <c r="BX50" s="12" t="s">
        <v>131</v>
      </c>
      <c r="BY50" s="12" t="s">
        <v>134</v>
      </c>
      <c r="BZ50" s="12" t="s">
        <v>132</v>
      </c>
      <c r="CA50" s="12" t="s">
        <v>134</v>
      </c>
      <c r="CB50" s="12" t="s">
        <v>135</v>
      </c>
      <c r="CC50" s="12" t="s">
        <v>128</v>
      </c>
      <c r="CD50" s="12" t="s">
        <v>129</v>
      </c>
      <c r="CE50" s="12" t="s">
        <v>132</v>
      </c>
      <c r="CF50" s="12" t="s">
        <v>131</v>
      </c>
      <c r="CG50" s="12" t="s">
        <v>134</v>
      </c>
      <c r="CH50" s="20">
        <v>1</v>
      </c>
      <c r="CI50" s="10">
        <v>6</v>
      </c>
      <c r="CJ50" s="148"/>
      <c r="CK50" s="63"/>
    </row>
    <row r="51" spans="1:89" ht="15.75" thickBot="1">
      <c r="A51" s="72" t="s">
        <v>237</v>
      </c>
      <c r="B51" s="10"/>
      <c r="C51" s="73" t="s">
        <v>230</v>
      </c>
      <c r="D51" s="10"/>
      <c r="E51" s="612" t="s">
        <v>711</v>
      </c>
      <c r="F51" s="613"/>
      <c r="G51" s="10"/>
      <c r="H51" s="10"/>
      <c r="I51" s="10"/>
      <c r="J51" s="10"/>
      <c r="K51" s="10"/>
      <c r="L51" s="264" t="s">
        <v>1152</v>
      </c>
      <c r="M51" s="33">
        <v>0</v>
      </c>
      <c r="N51" s="33">
        <v>191</v>
      </c>
      <c r="O51" s="33">
        <v>401</v>
      </c>
      <c r="P51" s="33">
        <v>901</v>
      </c>
      <c r="Q51" s="33">
        <v>1801</v>
      </c>
      <c r="R51" s="33">
        <v>3501</v>
      </c>
      <c r="S51" s="33">
        <v>7501</v>
      </c>
      <c r="T51" s="33">
        <v>15001</v>
      </c>
      <c r="U51" s="33">
        <v>30001</v>
      </c>
      <c r="V51" s="33">
        <v>60001</v>
      </c>
      <c r="W51" s="33">
        <v>110001</v>
      </c>
      <c r="X51" s="33">
        <v>160001</v>
      </c>
      <c r="Y51" s="34">
        <f>220001+MAX(0,SUMIFS(INDEX(választott_kasztok,,10),INDEX(választott_kasztok,,1),$L51)-13)*60000</f>
        <v>220001</v>
      </c>
      <c r="Z51" s="37">
        <f>10+ROUNDDOWN(SUMIFS(INDEX(választott_kasztok,,10),INDEX(választott_kasztok,,1),$L51)/2,0)</f>
        <v>10</v>
      </c>
      <c r="AA51" s="10">
        <v>20</v>
      </c>
      <c r="AB51" s="10">
        <v>75</v>
      </c>
      <c r="AC51" s="10">
        <v>0</v>
      </c>
      <c r="AD51" s="10">
        <f t="shared" si="99"/>
        <v>11</v>
      </c>
      <c r="AE51" s="10">
        <f t="shared" si="100"/>
        <v>4</v>
      </c>
      <c r="AF51" s="10">
        <f t="shared" si="100"/>
        <v>4</v>
      </c>
      <c r="AG51" s="20">
        <f>IF(AND(többes_kaszt=iker_kaszt,váltás_kezdet=0,váltás_kezdet&lt;&gt;""),0,3)</f>
        <v>3</v>
      </c>
      <c r="AH51" s="10">
        <f>MAX(0,IF(választott_kaszt_1=$L51,IF(váltás_kezdet="",VLOOKUP($L51,választott_kasztok,10,FALSE)*5,MIN(VLOOKUP($L51,választott_kasztok,10,FALSE),váltás_kezdet)*5+IF(többes_kaszt=iker_kaszt,MAX(0,VLOOKUP($L51,választott_kasztok,10,FALSE)-váltás_kezdet),0)+IF(többes_kaszt=váltott_kaszt,MAX(0,váltás_kezdet-VLOOKUP($L51,választott_kasztok,10,FALSE))*5)),0)+IF(választott_kaszt_2=$L51,VLOOKUP($L51,választott_kasztok,10,FALSE)*IF(többes_kaszt=iker_kaszt,1,5),0))</f>
        <v>0</v>
      </c>
      <c r="AI51" s="10">
        <f>MAX(35,IF(AND(többes_kaszt=váltott_kaszt,választott_kaszt_1=$L51),váltás_kezdet*35,SUMIFS(INDEX(választott_kasztok,,10),INDEX(választott_kasztok,,1),$L51)*35))</f>
        <v>35</v>
      </c>
      <c r="AJ51" s="10">
        <v>6</v>
      </c>
      <c r="AK51" s="10">
        <v>7</v>
      </c>
      <c r="AL51" s="10">
        <f>MAX(1,SUMIFS(INDEX(választott_kasztok,,10),INDEX(választott_kasztok,,1),$L51))*(k6dobás+5)</f>
        <v>11</v>
      </c>
      <c r="AM51" s="20">
        <f>IF(AND(intelligencia&gt;=17,akaraterő&gt;=15,asztrál&gt;=15),MAX(0,SUMIFS(INDEX(választott_kasztok,,10),INDEX(választott_kasztok,,1),$L51)-5)*MAX(0,intelligencia-15),0)</f>
        <v>0</v>
      </c>
      <c r="AN51" s="20" t="s">
        <v>1183</v>
      </c>
      <c r="AO51" s="209" t="str">
        <f>TEXT(IF(tanultMfkaszt=0,IF(SUMIFS(INDEX(választott_kasztok,,10),INDEX(választott_kasztok,,1),$L51)&lt;5,0,5),IF(INDEX(választott_kasztok,tanultMfkaszt,1)=$L51,IF(OR(tanultMfTSZ=0,tanultMfTSZ&gt;MIN(5,SUMIFS(INDEX(választott_kasztok,,10),INDEX(választott_kasztok,,1),$L51))),IF(SUMIFS(INDEX(választott_kasztok,,10),INDEX(választott_kasztok,,1),$L51)&lt;5,0,5),MIN(5,tanultMfTSZ)),0)),"00")&amp;"0101"</f>
        <v>000101</v>
      </c>
      <c r="AP51" s="33">
        <v>0</v>
      </c>
      <c r="AQ51" s="56">
        <v>35</v>
      </c>
      <c r="AR51" s="56">
        <v>25</v>
      </c>
      <c r="AS51" s="56">
        <v>15</v>
      </c>
      <c r="AT51" s="56">
        <v>45</v>
      </c>
      <c r="AU51" s="56">
        <v>40</v>
      </c>
      <c r="AV51" s="56"/>
      <c r="AW51" s="56"/>
      <c r="AX51" s="56">
        <v>10</v>
      </c>
      <c r="AY51" s="56"/>
      <c r="AZ51" s="56"/>
      <c r="BA51" s="117">
        <f>220001+MAX(0,váltás_kezdet-13)*60000</f>
        <v>220001</v>
      </c>
      <c r="BB51" s="17">
        <f t="shared" ref="BB51:BB53" si="101">MAX(SUMIFS(INDEX(dobások,,2),INDEX(dobások,,1),BX51)+SUMIFS(INDEX(fajok,,3),INDEX(fajok,,1),választott_faj),IF(AND(többes_kaszt=iker_kaszt,váltás_kezdet=1,választott_kaszt_1=$L51),SUMIFS(INDEX(kasztok,,43),INDEX(kasztok,,1),választott_kaszt_2),0))</f>
        <v>13</v>
      </c>
      <c r="BC51" s="17">
        <f t="shared" ref="BC51:BC53" si="102">MAX(SUMIFS(INDEX(dobások,,2),INDEX(dobások,,1),BY51)+SUMIFS(INDEX(fajok,,4),INDEX(fajok,,1),választott_faj),IF(AND(többes_kaszt=iker_kaszt,váltás_kezdet=1,választott_kaszt_1=$L51),SUMIFS(INDEX(kasztok,,44),INDEX(kasztok,,1),választott_kaszt_2),0))</f>
        <v>16</v>
      </c>
      <c r="BD51" s="17">
        <f t="shared" ref="BD51:BD53" si="103">MAX(SUMIFS(INDEX(dobások,,2),INDEX(dobások,,1),BZ51)+SUMIFS(INDEX(fajok,,5),INDEX(fajok,,1),választott_faj),IF(AND(többes_kaszt=iker_kaszt,váltás_kezdet=1,választott_kaszt_1=$L51),SUMIFS(INDEX(kasztok,,45),INDEX(kasztok,,1),választott_kaszt_2),0))</f>
        <v>14</v>
      </c>
      <c r="BE51" s="17">
        <f t="shared" ref="BE51:BE53" si="104">MAX(SUMIFS(INDEX(dobások,,2),INDEX(dobások,,1),CA51)+SUMIFS(INDEX(fajok,,6),INDEX(fajok,,1),választott_faj),IF(AND(többes_kaszt=iker_kaszt,váltás_kezdet=1,választott_kaszt_1=$L51),SUMIFS(INDEX(kasztok,,46),INDEX(kasztok,,1),választott_kaszt_2),0))</f>
        <v>16</v>
      </c>
      <c r="BF51" s="116">
        <f t="shared" ref="BF51:BF53" si="105">MAX(SUMIFS(INDEX(dobások,,2),INDEX(dobások,,1),CB51)+SUMIFS(INDEX(fajok,,7),INDEX(fajok,,1),választott_faj),IF(AND(többes_kaszt=iker_kaszt,váltás_kezdet=1,választott_kaszt_1=$L51),SUMIFS(INDEX(kasztok,,47),INDEX(kasztok,,1),választott_kaszt_2),0))</f>
        <v>16</v>
      </c>
      <c r="BG51" s="17">
        <f t="shared" ref="BG51:BG53" si="106">MAX(SUMIFS(INDEX(dobások,,2),INDEX(dobások,,1),CC51)+SUMIFS(INDEX(fajok,,8),INDEX(fajok,,1),választott_faj),IF(AND(többes_kaszt=iker_kaszt,váltás_kezdet=1,választott_kaszt_1=$L51),SUMIFS(INDEX(kasztok,,48),INDEX(kasztok,,1),választott_kaszt_2),0))</f>
        <v>10</v>
      </c>
      <c r="BH51" s="17">
        <f t="shared" ref="BH51:BH53" si="107">MAX(SUMIFS(INDEX(dobások,,2),INDEX(dobások,,1),CD51)+SUMIFS(INDEX(fajok,,9),INDEX(fajok,,1),választott_faj),IF(AND(többes_kaszt=iker_kaszt,váltás_kezdet=1,választott_kaszt_1=$L51),SUMIFS(INDEX(kasztok,,49),INDEX(kasztok,,1),választott_kaszt_2),0))</f>
        <v>11</v>
      </c>
      <c r="BI51" s="17">
        <f t="shared" ref="BI51:BI53" si="108">MAX(SUMIFS(INDEX(dobások,,2),INDEX(dobások,,1),CE51),IF(AND(többes_kaszt=iker_kaszt,váltás_kezdet=1,választott_kaszt_1=$L51),SUMIFS(INDEX(kasztok,,50),INDEX(kasztok,,1),választott_kaszt_2),0))</f>
        <v>14</v>
      </c>
      <c r="BJ51" s="17">
        <f t="shared" ref="BJ51:BJ53" si="109">MAX(SUMIFS(INDEX(dobások,,2),INDEX(dobások,,1),CF51)+SUMIFS(INDEX(fajok,,10),INDEX(fajok,,1),választott_faj),IF(AND(többes_kaszt=iker_kaszt,váltás_kezdet=1,választott_kaszt_1=$L51),SUMIFS(INDEX(kasztok,,51),INDEX(kasztok,,1),választott_kaszt_2),0))</f>
        <v>13</v>
      </c>
      <c r="BK51" s="17">
        <f t="shared" ref="BK51:BK53" si="110">MAX(SUMIFS(INDEX(dobások,,2),INDEX(dobások,,1),CG51),IF(AND(többes_kaszt=iker_kaszt,váltás_kezdet=1,választott_kaszt_1=$L51),SUMIFS(INDEX(kasztok,,52),INDEX(kasztok,,1),választott_kaszt_2),0))</f>
        <v>16</v>
      </c>
      <c r="BL51" s="17">
        <f t="shared" si="98"/>
        <v>0</v>
      </c>
      <c r="BM51" s="13">
        <f t="shared" ref="BM51:BM53" si="111">MAX(0,erő-(SUMIFS(INDEX(dobások,,4),INDEX(dobások,,1),BX51)+SUMIFS(INDEX(fajok,,3),INDEX(fajok,,1),választott_faj)))+MAX(0,gyorsaság-(SUMIFS(INDEX(dobások,,4),INDEX(dobások,,1),BY51)+SUMIFS(INDEX(fajok,,4),INDEX(fajok,,1),választott_faj)))+MAX(0,ügyesség-(SUMIFS(INDEX(dobások,,4),INDEX(dobások,,1),BZ51)+SUMIFS(INDEX(fajok,,5),INDEX(fajok,,1),választott_faj)))+MAX(0,állóképesség-(SUMIFS(INDEX(dobások,,4),INDEX(dobások,,1),CA51)+SUMIFS(INDEX(fajok,,6),INDEX(fajok,,1),választott_faj)))+MAX(0,egészség-(SUMIFS(INDEX(dobások,,4),INDEX(dobások,,1),CB51)+SUMIFS(INDEX(fajok,,7),INDEX(fajok,,1),választott_faj)))+MAX(0,szépség-(SUMIFS(INDEX(dobások,,4),INDEX(dobások,,1),CC51)+SUMIFS(INDEX(fajok,,8),INDEX(fajok,,1),választott_faj)))+MAX(0,intelligencia-(SUMIFS(INDEX(dobások,,4),INDEX(dobások,,1),CD51)+SUMIFS(INDEX(fajok,,9),INDEX(fajok,,1),választott_faj)))+MAX(0,akaraterő-SUMIFS(INDEX(dobások,,4),INDEX(dobások,,1),CE51))+MAX(0,asztrál-(SUMIFS(INDEX(dobások,,4),INDEX(dobások,,1),CF51)+SUMIFS(INDEX(fajok,,10),INDEX(fajok,,1),választott_faj)))+MAX(0,érzékelés-SUMIFS(INDEX(dobások,,4),INDEX(dobások,,1),CG51))</f>
        <v>0</v>
      </c>
      <c r="BN51" s="12"/>
      <c r="BO51" s="12" t="s">
        <v>262</v>
      </c>
      <c r="BP51" s="12"/>
      <c r="BQ51" s="12" t="s">
        <v>262</v>
      </c>
      <c r="BR51" s="12"/>
      <c r="BS51" s="12"/>
      <c r="BT51" s="12"/>
      <c r="BU51" s="12"/>
      <c r="BV51" s="12"/>
      <c r="BW51" s="51"/>
      <c r="BX51" s="12" t="s">
        <v>131</v>
      </c>
      <c r="BY51" s="12" t="s">
        <v>134</v>
      </c>
      <c r="BZ51" s="12" t="s">
        <v>132</v>
      </c>
      <c r="CA51" s="12" t="s">
        <v>134</v>
      </c>
      <c r="CB51" s="12" t="s">
        <v>135</v>
      </c>
      <c r="CC51" s="12" t="s">
        <v>128</v>
      </c>
      <c r="CD51" s="12" t="s">
        <v>129</v>
      </c>
      <c r="CE51" s="12" t="s">
        <v>132</v>
      </c>
      <c r="CF51" s="12" t="s">
        <v>131</v>
      </c>
      <c r="CG51" s="12" t="s">
        <v>134</v>
      </c>
      <c r="CH51" s="10">
        <v>3</v>
      </c>
      <c r="CI51" s="10">
        <v>6</v>
      </c>
      <c r="CJ51" s="148"/>
      <c r="CK51" s="63"/>
    </row>
    <row r="52" spans="1:89" ht="15.75" thickBot="1">
      <c r="A52" s="72" t="s">
        <v>249</v>
      </c>
      <c r="B52" s="10"/>
      <c r="C52" s="10"/>
      <c r="D52" s="10"/>
      <c r="E52" s="622" t="s">
        <v>712</v>
      </c>
      <c r="F52" s="623"/>
      <c r="G52" s="10"/>
      <c r="H52" s="10"/>
      <c r="I52" s="10"/>
      <c r="J52" s="10"/>
      <c r="K52" s="10"/>
      <c r="L52" s="264" t="s">
        <v>1153</v>
      </c>
      <c r="M52" s="33">
        <v>0</v>
      </c>
      <c r="N52" s="33">
        <v>191</v>
      </c>
      <c r="O52" s="33">
        <v>401</v>
      </c>
      <c r="P52" s="33">
        <v>901</v>
      </c>
      <c r="Q52" s="33">
        <v>1801</v>
      </c>
      <c r="R52" s="33">
        <v>3501</v>
      </c>
      <c r="S52" s="33">
        <v>7501</v>
      </c>
      <c r="T52" s="33">
        <v>15001</v>
      </c>
      <c r="U52" s="33">
        <v>30001</v>
      </c>
      <c r="V52" s="33">
        <v>60001</v>
      </c>
      <c r="W52" s="33">
        <v>110001</v>
      </c>
      <c r="X52" s="33">
        <v>160001</v>
      </c>
      <c r="Y52" s="34">
        <f>220001+MAX(0,SUMIFS(INDEX(választott_kasztok,,10),INDEX(választott_kasztok,,1),$L52)-13)*60000</f>
        <v>220001</v>
      </c>
      <c r="Z52" s="37">
        <f>10+ROUNDDOWN(SUMIFS(INDEX(választott_kasztok,,10),INDEX(választott_kasztok,,1),$L52)/2,0)</f>
        <v>10</v>
      </c>
      <c r="AA52" s="10">
        <v>20</v>
      </c>
      <c r="AB52" s="10">
        <v>75</v>
      </c>
      <c r="AC52" s="10">
        <v>0</v>
      </c>
      <c r="AD52" s="10">
        <f t="shared" si="99"/>
        <v>11</v>
      </c>
      <c r="AE52" s="10">
        <f t="shared" si="100"/>
        <v>4</v>
      </c>
      <c r="AF52" s="10">
        <f t="shared" si="100"/>
        <v>4</v>
      </c>
      <c r="AG52" s="20">
        <f>IF(AND(többes_kaszt=iker_kaszt,váltás_kezdet=0,váltás_kezdet&lt;&gt;""),0,3)</f>
        <v>3</v>
      </c>
      <c r="AH52" s="10">
        <f>MAX(0,IF(választott_kaszt_1=$L52,IF(váltás_kezdet="",VLOOKUP($L52,választott_kasztok,10,FALSE)*5,MIN(VLOOKUP($L52,választott_kasztok,10,FALSE),váltás_kezdet)*5+IF(többes_kaszt=iker_kaszt,MAX(0,VLOOKUP($L52,választott_kasztok,10,FALSE)-váltás_kezdet),0)+IF(többes_kaszt=váltott_kaszt,MAX(0,váltás_kezdet-VLOOKUP($L52,választott_kasztok,10,FALSE))*5)),0)+IF(választott_kaszt_2=$L52,VLOOKUP($L52,választott_kasztok,10,FALSE)*IF(többes_kaszt=iker_kaszt,1,5),0))</f>
        <v>0</v>
      </c>
      <c r="AI52" s="10">
        <f>MAX(30,IF(AND(többes_kaszt=váltott_kaszt,választott_kaszt_1=$L52),váltás_kezdet*30,SUMIFS(INDEX(választott_kasztok,,10),INDEX(választott_kasztok,,1),$L52)*30))</f>
        <v>30</v>
      </c>
      <c r="AJ52" s="10">
        <v>6</v>
      </c>
      <c r="AK52" s="10">
        <v>7</v>
      </c>
      <c r="AL52" s="10">
        <f>MAX(1,SUMIFS(INDEX(választott_kasztok,,10),INDEX(választott_kasztok,,1),$L52))*(k6dobás+5)</f>
        <v>11</v>
      </c>
      <c r="AM52" s="20">
        <f>IF(AND(intelligencia&gt;=17,akaraterő&gt;=15,asztrál&gt;=15),MAX(0,SUMIFS(INDEX(választott_kasztok,,10),INDEX(választott_kasztok,,1),$L52)-5)*MAX(0,intelligencia-15),0)</f>
        <v>0</v>
      </c>
      <c r="AN52" s="20" t="s">
        <v>1183</v>
      </c>
      <c r="AO52" s="209" t="str">
        <f>TEXT(IF(tanultMfkaszt=0,IF(SUMIFS(INDEX(választott_kasztok,,10),INDEX(választott_kasztok,,1),$L52)&lt;4,0,4),IF(INDEX(választott_kasztok,tanultMfkaszt,1)=$L52,IF(OR(tanultMfTSZ=0,tanultMfTSZ&gt;MIN(4,SUMIFS(INDEX(választott_kasztok,,10),INDEX(választott_kasztok,,1),$L52))),IF(SUMIFS(INDEX(választott_kasztok,,10),INDEX(választott_kasztok,,1),$L52)&lt;4,0,4),MIN(4,tanultMfTSZ)),0)),"00")&amp;"0101"</f>
        <v>000101</v>
      </c>
      <c r="AP52" s="33">
        <v>0</v>
      </c>
      <c r="AQ52" s="56">
        <v>20</v>
      </c>
      <c r="AR52" s="56">
        <v>30</v>
      </c>
      <c r="AS52" s="56">
        <v>30</v>
      </c>
      <c r="AT52" s="56">
        <v>10</v>
      </c>
      <c r="AU52" s="56">
        <v>10</v>
      </c>
      <c r="AV52" s="56"/>
      <c r="AW52" s="56"/>
      <c r="AX52" s="56">
        <v>25</v>
      </c>
      <c r="AY52" s="56"/>
      <c r="AZ52" s="56"/>
      <c r="BA52" s="117">
        <f>220001+MAX(0,váltás_kezdet-13)*60000</f>
        <v>220001</v>
      </c>
      <c r="BB52" s="17">
        <f t="shared" si="101"/>
        <v>13</v>
      </c>
      <c r="BC52" s="17">
        <f t="shared" si="102"/>
        <v>16</v>
      </c>
      <c r="BD52" s="17">
        <f t="shared" si="103"/>
        <v>14</v>
      </c>
      <c r="BE52" s="17">
        <f t="shared" si="104"/>
        <v>16</v>
      </c>
      <c r="BF52" s="116">
        <f t="shared" si="105"/>
        <v>16</v>
      </c>
      <c r="BG52" s="17">
        <f t="shared" si="106"/>
        <v>10</v>
      </c>
      <c r="BH52" s="17">
        <f t="shared" si="107"/>
        <v>11</v>
      </c>
      <c r="BI52" s="17">
        <f t="shared" si="108"/>
        <v>14</v>
      </c>
      <c r="BJ52" s="17">
        <f t="shared" si="109"/>
        <v>13</v>
      </c>
      <c r="BK52" s="17">
        <f t="shared" si="110"/>
        <v>16</v>
      </c>
      <c r="BL52" s="17">
        <f t="shared" si="98"/>
        <v>0</v>
      </c>
      <c r="BM52" s="13">
        <f t="shared" si="111"/>
        <v>0</v>
      </c>
      <c r="BN52" s="12"/>
      <c r="BO52" s="12" t="s">
        <v>262</v>
      </c>
      <c r="BP52" s="12"/>
      <c r="BQ52" s="12" t="s">
        <v>262</v>
      </c>
      <c r="BR52" s="12"/>
      <c r="BS52" s="12"/>
      <c r="BT52" s="12"/>
      <c r="BU52" s="12"/>
      <c r="BV52" s="12"/>
      <c r="BW52" s="51"/>
      <c r="BX52" s="12" t="s">
        <v>131</v>
      </c>
      <c r="BY52" s="12" t="s">
        <v>134</v>
      </c>
      <c r="BZ52" s="12" t="s">
        <v>132</v>
      </c>
      <c r="CA52" s="12" t="s">
        <v>134</v>
      </c>
      <c r="CB52" s="12" t="s">
        <v>135</v>
      </c>
      <c r="CC52" s="12" t="s">
        <v>128</v>
      </c>
      <c r="CD52" s="12" t="s">
        <v>129</v>
      </c>
      <c r="CE52" s="12" t="s">
        <v>132</v>
      </c>
      <c r="CF52" s="12" t="s">
        <v>131</v>
      </c>
      <c r="CG52" s="12" t="s">
        <v>134</v>
      </c>
      <c r="CH52" s="10">
        <v>3</v>
      </c>
      <c r="CI52" s="10">
        <v>6</v>
      </c>
      <c r="CJ52" s="148"/>
      <c r="CK52" s="63"/>
    </row>
    <row r="53" spans="1:89" ht="15.75" thickBot="1">
      <c r="A53" s="72" t="s">
        <v>238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264" t="s">
        <v>1168</v>
      </c>
      <c r="M53" s="33">
        <v>0</v>
      </c>
      <c r="N53" s="33">
        <v>191</v>
      </c>
      <c r="O53" s="33">
        <v>401</v>
      </c>
      <c r="P53" s="33">
        <v>901</v>
      </c>
      <c r="Q53" s="33">
        <v>1801</v>
      </c>
      <c r="R53" s="33">
        <v>3501</v>
      </c>
      <c r="S53" s="33">
        <v>7501</v>
      </c>
      <c r="T53" s="33">
        <v>15001</v>
      </c>
      <c r="U53" s="33">
        <v>30001</v>
      </c>
      <c r="V53" s="33">
        <v>60001</v>
      </c>
      <c r="W53" s="33">
        <v>110001</v>
      </c>
      <c r="X53" s="33">
        <v>160001</v>
      </c>
      <c r="Y53" s="34">
        <f>220001+MAX(0,SUMIFS(INDEX(választott_kasztok,,10),INDEX(választott_kasztok,,1),$L53)-13)*60000</f>
        <v>220001</v>
      </c>
      <c r="Z53" s="37">
        <f>10+ROUNDDOWN(SUMIFS(INDEX(választott_kasztok,,10),INDEX(választott_kasztok,,1),$L53)/2,0)</f>
        <v>10</v>
      </c>
      <c r="AA53" s="10">
        <v>20</v>
      </c>
      <c r="AB53" s="10">
        <v>75</v>
      </c>
      <c r="AC53" s="10">
        <v>0</v>
      </c>
      <c r="AD53" s="10">
        <f t="shared" si="99"/>
        <v>11</v>
      </c>
      <c r="AE53" s="10">
        <f t="shared" si="100"/>
        <v>4</v>
      </c>
      <c r="AF53" s="10">
        <f t="shared" si="100"/>
        <v>4</v>
      </c>
      <c r="AG53" s="20">
        <f>IF(AND(többes_kaszt=iker_kaszt,váltás_kezdet=0,váltás_kezdet&lt;&gt;""),0,3)</f>
        <v>3</v>
      </c>
      <c r="AH53" s="10">
        <f>MAX(0,IF(választott_kaszt_1=$L53,IF(váltás_kezdet="",VLOOKUP($L53,választott_kasztok,10,FALSE)*5,MIN(VLOOKUP($L53,választott_kasztok,10,FALSE),váltás_kezdet)*5+IF(többes_kaszt=iker_kaszt,MAX(0,VLOOKUP($L53,választott_kasztok,10,FALSE)-váltás_kezdet),0)+IF(többes_kaszt=váltott_kaszt,MAX(0,váltás_kezdet-VLOOKUP($L53,választott_kasztok,10,FALSE))*5)),0)+IF(választott_kaszt_2=$L53,VLOOKUP($L53,választott_kasztok,10,FALSE)*IF(többes_kaszt=iker_kaszt,1,5),0))</f>
        <v>0</v>
      </c>
      <c r="AI53" s="10">
        <f>MAX(20,IF(AND(többes_kaszt=váltott_kaszt,választott_kaszt_1=$L53),váltás_kezdet*20,SUMIFS(INDEX(választott_kasztok,,10),INDEX(választott_kasztok,,1),$L53)*20))</f>
        <v>20</v>
      </c>
      <c r="AJ53" s="10">
        <v>6</v>
      </c>
      <c r="AK53" s="10">
        <v>7</v>
      </c>
      <c r="AL53" s="10">
        <f>MAX(1,SUMIFS(INDEX(választott_kasztok,,10),INDEX(választott_kasztok,,1),$L53))*(k6dobás+5)</f>
        <v>11</v>
      </c>
      <c r="AM53" s="10"/>
      <c r="AN53" s="20" t="s">
        <v>1183</v>
      </c>
      <c r="AO53" s="209" t="str">
        <f>TEXT(IF(tanultMfkaszt=0,IF(SUMIFS(INDEX(választott_kasztok,,10),INDEX(választott_kasztok,,1),$L53)&lt;5,0,5),IF(INDEX(választott_kasztok,tanultMfkaszt,1)=$L53,IF(OR(tanultMfTSZ=0,tanultMfTSZ&gt;MIN(5,SUMIFS(INDEX(választott_kasztok,,10),INDEX(választott_kasztok,,1),$L53))),IF(SUMIFS(INDEX(választott_kasztok,,10),INDEX(választott_kasztok,,1),$L53)&lt;5,0,5),MIN(5,tanultMfTSZ)),0)),"00")&amp;"0101"</f>
        <v>000101</v>
      </c>
      <c r="AP53" s="33">
        <v>0</v>
      </c>
      <c r="AQ53" s="56">
        <v>30</v>
      </c>
      <c r="AR53" s="56">
        <v>15</v>
      </c>
      <c r="AS53" s="56">
        <v>15</v>
      </c>
      <c r="AT53" s="56">
        <v>20</v>
      </c>
      <c r="AU53" s="56">
        <v>25</v>
      </c>
      <c r="AV53" s="56"/>
      <c r="AW53" s="56"/>
      <c r="AX53" s="56">
        <v>10</v>
      </c>
      <c r="AY53" s="56"/>
      <c r="AZ53" s="56"/>
      <c r="BA53" s="117">
        <f>220001+MAX(0,váltás_kezdet-13)*60000</f>
        <v>220001</v>
      </c>
      <c r="BB53" s="17">
        <f t="shared" si="101"/>
        <v>13</v>
      </c>
      <c r="BC53" s="17">
        <f t="shared" si="102"/>
        <v>16</v>
      </c>
      <c r="BD53" s="17">
        <f t="shared" si="103"/>
        <v>14</v>
      </c>
      <c r="BE53" s="17">
        <f t="shared" si="104"/>
        <v>16</v>
      </c>
      <c r="BF53" s="116">
        <f t="shared" si="105"/>
        <v>16</v>
      </c>
      <c r="BG53" s="17">
        <f t="shared" si="106"/>
        <v>10</v>
      </c>
      <c r="BH53" s="17">
        <f t="shared" si="107"/>
        <v>11</v>
      </c>
      <c r="BI53" s="17">
        <f t="shared" si="108"/>
        <v>14</v>
      </c>
      <c r="BJ53" s="17">
        <f t="shared" si="109"/>
        <v>13</v>
      </c>
      <c r="BK53" s="17">
        <f t="shared" si="110"/>
        <v>16</v>
      </c>
      <c r="BL53" s="17">
        <f t="shared" si="98"/>
        <v>0</v>
      </c>
      <c r="BM53" s="13">
        <f t="shared" si="111"/>
        <v>0</v>
      </c>
      <c r="BN53" s="12"/>
      <c r="BO53" s="12" t="s">
        <v>262</v>
      </c>
      <c r="BP53" s="12"/>
      <c r="BQ53" s="12" t="s">
        <v>262</v>
      </c>
      <c r="BR53" s="12"/>
      <c r="BS53" s="12"/>
      <c r="BT53" s="12"/>
      <c r="BU53" s="12"/>
      <c r="BV53" s="12"/>
      <c r="BW53" s="51"/>
      <c r="BX53" s="12" t="s">
        <v>131</v>
      </c>
      <c r="BY53" s="12" t="s">
        <v>134</v>
      </c>
      <c r="BZ53" s="12" t="s">
        <v>132</v>
      </c>
      <c r="CA53" s="12" t="s">
        <v>134</v>
      </c>
      <c r="CB53" s="12" t="s">
        <v>135</v>
      </c>
      <c r="CC53" s="12" t="s">
        <v>128</v>
      </c>
      <c r="CD53" s="12" t="s">
        <v>129</v>
      </c>
      <c r="CE53" s="12" t="s">
        <v>132</v>
      </c>
      <c r="CF53" s="12" t="s">
        <v>131</v>
      </c>
      <c r="CG53" s="12" t="s">
        <v>134</v>
      </c>
      <c r="CH53" s="10">
        <v>3</v>
      </c>
      <c r="CI53" s="10">
        <v>6</v>
      </c>
      <c r="CJ53" s="148"/>
      <c r="CK53" s="63"/>
    </row>
    <row r="54" spans="1:89" ht="16.5" thickBot="1">
      <c r="A54" s="72" t="s">
        <v>233</v>
      </c>
      <c r="B54" s="28"/>
      <c r="C54" s="642" t="s">
        <v>779</v>
      </c>
      <c r="D54" s="643"/>
      <c r="E54" s="643"/>
      <c r="F54" s="643"/>
      <c r="G54" s="643"/>
      <c r="H54" s="643"/>
      <c r="I54" s="644"/>
      <c r="J54" s="10"/>
      <c r="K54" s="10"/>
      <c r="L54" s="10" t="s">
        <v>1149</v>
      </c>
      <c r="M54" s="34">
        <v>0</v>
      </c>
      <c r="N54" s="34">
        <v>161</v>
      </c>
      <c r="O54" s="34">
        <v>331</v>
      </c>
      <c r="P54" s="34">
        <v>661</v>
      </c>
      <c r="Q54" s="34">
        <v>1301</v>
      </c>
      <c r="R54" s="34">
        <v>2601</v>
      </c>
      <c r="S54" s="34">
        <v>5001</v>
      </c>
      <c r="T54" s="34">
        <v>9001</v>
      </c>
      <c r="U54" s="34">
        <v>23001</v>
      </c>
      <c r="V54" s="34">
        <v>50001</v>
      </c>
      <c r="W54" s="34">
        <v>90001</v>
      </c>
      <c r="X54" s="34">
        <v>130001</v>
      </c>
      <c r="Y54" s="34">
        <f>165001+MAX(0,SUMIFS(INDEX(választott_kasztok,,10),INDEX(választott_kasztok,,1),$L54)-13)*50000</f>
        <v>165001</v>
      </c>
      <c r="Z54" s="20">
        <v>7</v>
      </c>
      <c r="AA54" s="20">
        <v>16</v>
      </c>
      <c r="AB54" s="20">
        <v>70</v>
      </c>
      <c r="AC54" s="20">
        <v>0</v>
      </c>
      <c r="AD54" s="10">
        <f>MAX(6,SUMIFS(INDEX(választott_kasztok,,10),INDEX(választott_kasztok,,1),$L54)*6)</f>
        <v>6</v>
      </c>
      <c r="AE54" s="10">
        <f>MAX(2,SUMIFS(INDEX(választott_kasztok,,10),INDEX(választott_kasztok,,1),$L54)*2)</f>
        <v>2</v>
      </c>
      <c r="AF54" s="10">
        <f>MAX(2,SUMIFS(INDEX(választott_kasztok,,10),INDEX(választott_kasztok,,1),$L54)*2)</f>
        <v>2</v>
      </c>
      <c r="AG54" s="20">
        <f>IF(AND(többes_kaszt=iker_kaszt,váltás_kezdet=0,váltás_kezdet&lt;&gt;""),0,8)</f>
        <v>8</v>
      </c>
      <c r="AH54" s="10">
        <f>MAX(0,IF(választott_kaszt_1=$L54,IF(váltás_kezdet="",VLOOKUP($L54,választott_kasztok,10,FALSE)*10,MIN(VLOOKUP($L54,választott_kasztok,10,FALSE),váltás_kezdet)*10+IF(többes_kaszt=iker_kaszt,MAX(0,VLOOKUP($L54,választott_kasztok,10,FALSE)-váltás_kezdet),0)+IF(többes_kaszt=váltott_kaszt,MAX(0,váltás_kezdet-VLOOKUP($L54,választott_kasztok,10,FALSE))*10)),0)+IF(választott_kaszt_2=$L54,VLOOKUP($L54,választott_kasztok,10,FALSE)*IF(többes_kaszt=iker_kaszt,1,10),0))</f>
        <v>0</v>
      </c>
      <c r="AI54" s="10">
        <f>MAX(40,IF(AND(többes_kaszt=váltott_kaszt,választott_kaszt_1=$L54),váltás_kezdet*40,SUMIFS(INDEX(választott_kasztok,,10),INDEX(választott_kasztok,,1),$L54)*40))</f>
        <v>40</v>
      </c>
      <c r="AJ54" s="20">
        <v>4</v>
      </c>
      <c r="AK54" s="20">
        <v>4</v>
      </c>
      <c r="AL54" s="10">
        <f>MAX(1,SUMIFS(INDEX(választott_kasztok,,10),INDEX(választott_kasztok,,1),$L54))*(k6dobás+1)</f>
        <v>7</v>
      </c>
      <c r="AM54" s="10">
        <f>MAX(6+ROUNDUP(k6dobás/2,0),SUMIFS(INDEX(választott_kasztok,,10),INDEX(választott_kasztok,,1),$L54)*(6+ROUNDUP(k6dobás/2,0)))</f>
        <v>9</v>
      </c>
      <c r="AN54" s="20" t="s">
        <v>1183</v>
      </c>
      <c r="AO54" s="209"/>
      <c r="AP54" s="33">
        <v>0</v>
      </c>
      <c r="AQ54" s="57">
        <v>50</v>
      </c>
      <c r="AR54" s="57">
        <v>40</v>
      </c>
      <c r="AS54" s="57"/>
      <c r="AT54" s="57">
        <v>35</v>
      </c>
      <c r="AU54" s="57">
        <v>20</v>
      </c>
      <c r="AV54" s="57"/>
      <c r="AW54" s="57"/>
      <c r="AX54" s="57"/>
      <c r="AY54" s="57"/>
      <c r="AZ54" s="57"/>
      <c r="BA54" s="117">
        <f>165001+MAX(0,váltás_kezdet-13)*50000</f>
        <v>165001</v>
      </c>
      <c r="BB54" s="17">
        <f t="shared" ref="BB54" si="112">MAX(SUMIFS(INDEX(dobások,,2),INDEX(dobások,,1),BX54)+SUMIFS(INDEX(fajok,,3),INDEX(fajok,,1),választott_faj),IF(AND(többes_kaszt=iker_kaszt,váltás_kezdet=1,választott_kaszt_1=$L54),SUMIFS(INDEX(kasztok,,43),INDEX(kasztok,,1),választott_kaszt_2),0))</f>
        <v>10</v>
      </c>
      <c r="BC54" s="17">
        <f t="shared" ref="BC54" si="113">MAX(SUMIFS(INDEX(dobások,,2),INDEX(dobások,,1),BY54)+SUMIFS(INDEX(fajok,,4),INDEX(fajok,,1),választott_faj),IF(AND(többes_kaszt=iker_kaszt,váltás_kezdet=1,választott_kaszt_1=$L54),SUMIFS(INDEX(kasztok,,44),INDEX(kasztok,,1),választott_kaszt_2),0))</f>
        <v>14</v>
      </c>
      <c r="BD54" s="17">
        <f t="shared" ref="BD54" si="114">MAX(SUMIFS(INDEX(dobások,,2),INDEX(dobások,,1),BZ54)+SUMIFS(INDEX(fajok,,5),INDEX(fajok,,1),választott_faj),IF(AND(többes_kaszt=iker_kaszt,váltás_kezdet=1,választott_kaszt_1=$L54),SUMIFS(INDEX(kasztok,,45),INDEX(kasztok,,1),választott_kaszt_2),0))</f>
        <v>14</v>
      </c>
      <c r="BE54" s="17">
        <f t="shared" ref="BE54" si="115">MAX(SUMIFS(INDEX(dobások,,2),INDEX(dobások,,1),CA54)+SUMIFS(INDEX(fajok,,6),INDEX(fajok,,1),választott_faj),IF(AND(többes_kaszt=iker_kaszt,váltás_kezdet=1,választott_kaszt_1=$L54),SUMIFS(INDEX(kasztok,,46),INDEX(kasztok,,1),választott_kaszt_2),0))</f>
        <v>10</v>
      </c>
      <c r="BF54" s="31">
        <f t="shared" ref="BF54" si="116">MAX(SUMIFS(INDEX(dobások,,2),INDEX(dobások,,1),CB54)+SUMIFS(INDEX(fajok,,7),INDEX(fajok,,1),választott_faj),IF(AND(többes_kaszt=iker_kaszt,váltás_kezdet=1,választott_kaszt_1=$L54),SUMIFS(INDEX(kasztok,,47),INDEX(kasztok,,1),választott_kaszt_2),0))</f>
        <v>11</v>
      </c>
      <c r="BG54" s="17">
        <f t="shared" ref="BG54" si="117">MAX(SUMIFS(INDEX(dobások,,2),INDEX(dobások,,1),CC54)+SUMIFS(INDEX(fajok,,8),INDEX(fajok,,1),választott_faj),IF(AND(többes_kaszt=iker_kaszt,váltás_kezdet=1,választott_kaszt_1=$L54),SUMIFS(INDEX(kasztok,,48),INDEX(kasztok,,1),választott_kaszt_2),0))</f>
        <v>13</v>
      </c>
      <c r="BH54" s="17">
        <f t="shared" ref="BH54" si="118">MAX(SUMIFS(INDEX(dobások,,2),INDEX(dobások,,1),CD54)+SUMIFS(INDEX(fajok,,9),INDEX(fajok,,1),választott_faj),IF(AND(többes_kaszt=iker_kaszt,váltás_kezdet=1,választott_kaszt_1=$L54),SUMIFS(INDEX(kasztok,,49),INDEX(kasztok,,1),választott_kaszt_2),0))</f>
        <v>13</v>
      </c>
      <c r="BI54" s="17">
        <f t="shared" ref="BI54" si="119">MAX(SUMIFS(INDEX(dobások,,2),INDEX(dobások,,1),CE54),IF(AND(többes_kaszt=iker_kaszt,váltás_kezdet=1,választott_kaszt_1=$L54),SUMIFS(INDEX(kasztok,,50),INDEX(kasztok,,1),választott_kaszt_2),0))</f>
        <v>13</v>
      </c>
      <c r="BJ54" s="17">
        <f t="shared" ref="BJ54" si="120">MAX(SUMIFS(INDEX(dobások,,2),INDEX(dobások,,1),CF54)+SUMIFS(INDEX(fajok,,10),INDEX(fajok,,1),választott_faj),IF(AND(többes_kaszt=iker_kaszt,váltás_kezdet=1,választott_kaszt_1=$L54),SUMIFS(INDEX(kasztok,,51),INDEX(kasztok,,1),választott_kaszt_2),0))</f>
        <v>14</v>
      </c>
      <c r="BK54" s="17">
        <f t="shared" ref="BK54" si="121">MAX(SUMIFS(INDEX(dobások,,2),INDEX(dobások,,1),CG54),IF(AND(többes_kaszt=iker_kaszt,váltás_kezdet=1,választott_kaszt_1=$L54),SUMIFS(INDEX(kasztok,,52),INDEX(kasztok,,1),választott_kaszt_2),0))</f>
        <v>14</v>
      </c>
      <c r="BL54" s="17">
        <f t="shared" si="98"/>
        <v>0</v>
      </c>
      <c r="BM54" s="13">
        <f t="shared" si="96"/>
        <v>0</v>
      </c>
      <c r="BN54" s="198"/>
      <c r="BO54" s="198"/>
      <c r="BP54" s="198"/>
      <c r="BQ54" s="198"/>
      <c r="BR54" s="198"/>
      <c r="BS54" s="198"/>
      <c r="BT54" s="198"/>
      <c r="BU54" s="198"/>
      <c r="BV54" s="198"/>
      <c r="BW54" s="199"/>
      <c r="BX54" s="12" t="s">
        <v>128</v>
      </c>
      <c r="BY54" s="12" t="s">
        <v>132</v>
      </c>
      <c r="BZ54" s="12" t="s">
        <v>132</v>
      </c>
      <c r="CA54" s="12" t="s">
        <v>128</v>
      </c>
      <c r="CB54" s="12" t="s">
        <v>129</v>
      </c>
      <c r="CC54" s="12" t="s">
        <v>131</v>
      </c>
      <c r="CD54" s="12" t="s">
        <v>131</v>
      </c>
      <c r="CE54" s="12" t="s">
        <v>131</v>
      </c>
      <c r="CF54" s="12" t="s">
        <v>132</v>
      </c>
      <c r="CG54" s="12" t="s">
        <v>132</v>
      </c>
      <c r="CH54" s="10">
        <v>3</v>
      </c>
      <c r="CI54" s="10">
        <v>6</v>
      </c>
      <c r="CJ54" s="148"/>
      <c r="CK54" s="63"/>
    </row>
    <row r="55" spans="1:89" ht="15.75">
      <c r="A55" s="72" t="s">
        <v>243</v>
      </c>
      <c r="B55" s="10"/>
      <c r="C55" s="270" t="s">
        <v>532</v>
      </c>
      <c r="D55" s="280" t="s">
        <v>784</v>
      </c>
      <c r="E55" s="186" t="s">
        <v>47</v>
      </c>
      <c r="F55" s="186" t="s">
        <v>48</v>
      </c>
      <c r="G55" s="186" t="s">
        <v>49</v>
      </c>
      <c r="H55" s="186" t="s">
        <v>50</v>
      </c>
      <c r="I55" s="94" t="s">
        <v>783</v>
      </c>
      <c r="J55" s="10"/>
      <c r="K55" s="10"/>
      <c r="L55" s="10" t="s">
        <v>303</v>
      </c>
      <c r="M55" s="33">
        <v>0</v>
      </c>
      <c r="N55" s="33">
        <v>171</v>
      </c>
      <c r="O55" s="33">
        <v>351</v>
      </c>
      <c r="P55" s="33">
        <v>701</v>
      </c>
      <c r="Q55" s="33">
        <v>1501</v>
      </c>
      <c r="R55" s="33">
        <v>3001</v>
      </c>
      <c r="S55" s="33">
        <v>7001</v>
      </c>
      <c r="T55" s="33">
        <v>12001</v>
      </c>
      <c r="U55" s="33">
        <v>22001</v>
      </c>
      <c r="V55" s="33">
        <v>52501</v>
      </c>
      <c r="W55" s="33">
        <v>85501</v>
      </c>
      <c r="X55" s="33">
        <v>135001</v>
      </c>
      <c r="Y55" s="34">
        <f>175501+MAX(0,SUMIFS(INDEX(választott_kasztok,,10),INDEX(választott_kasztok,,1),$L55)-13)*58500</f>
        <v>175501</v>
      </c>
      <c r="Z55" s="20">
        <v>6</v>
      </c>
      <c r="AA55" s="20">
        <v>17</v>
      </c>
      <c r="AB55" s="20">
        <v>72</v>
      </c>
      <c r="AC55" s="20">
        <v>0</v>
      </c>
      <c r="AD55" s="10">
        <f>MAX(8,SUMIFS(INDEX(választott_kasztok,,10),INDEX(választott_kasztok,,1),$L55)*8)</f>
        <v>8</v>
      </c>
      <c r="AE55" s="10">
        <f>MAX(3,SUMIFS(INDEX(választott_kasztok,,10),INDEX(választott_kasztok,,1),$L55)*3)</f>
        <v>3</v>
      </c>
      <c r="AF55" s="10">
        <f>MAX(3,SUMIFS(INDEX(választott_kasztok,,10),INDEX(választott_kasztok,,1),$L55)*3)</f>
        <v>3</v>
      </c>
      <c r="AG55" s="20">
        <f>IF(AND(többes_kaszt=iker_kaszt,váltás_kezdet=0,váltás_kezdet&lt;&gt;""),0,3)</f>
        <v>3</v>
      </c>
      <c r="AH55" s="10">
        <f>MAX(0,IF(választott_kaszt_1=$L55,IF(váltás_kezdet="",VLOOKUP($L55,választott_kasztok,10,FALSE)*5,MIN(VLOOKUP($L55,választott_kasztok,10,FALSE),váltás_kezdet)*5+IF(többes_kaszt=iker_kaszt,MAX(0,VLOOKUP($L55,választott_kasztok,10,FALSE)-váltás_kezdet),0)+IF(többes_kaszt=váltott_kaszt,MAX(0,váltás_kezdet-VLOOKUP($L55,választott_kasztok,10,FALSE))*5)),0)+IF(választott_kaszt_2=$L55,VLOOKUP($L55,választott_kasztok,10,FALSE)*IF(többes_kaszt=iker_kaszt,1,5),0))</f>
        <v>0</v>
      </c>
      <c r="AI55" s="20">
        <v>0</v>
      </c>
      <c r="AJ55" s="20">
        <v>5</v>
      </c>
      <c r="AK55" s="20">
        <v>4</v>
      </c>
      <c r="AL55" s="37">
        <f>MAX(1,MIN(4,SUMIFS(INDEX(választott_kasztok,,10),INDEX(választott_kasztok,,1),$L55)))*(k6dobás+1)+MAX(0,SUMIFS(INDEX(választott_kasztok,,10),INDEX(választott_kasztok,,1),$L55)-4)*(k6dobás+2)</f>
        <v>7</v>
      </c>
      <c r="AM55" s="10">
        <f>MAX(6,MIN(4,SUMIFS(INDEX(választott_kasztok,,10),INDEX(választott_kasztok,,1),$L55))*6+MAX(0,SUMIFS(INDEX(választott_kasztok,,10),INDEX(választott_kasztok,,1),$L55)-4)*8)</f>
        <v>6</v>
      </c>
      <c r="AN55" s="20" t="s">
        <v>1183</v>
      </c>
      <c r="AO55" s="209"/>
      <c r="AP55" s="33">
        <v>0</v>
      </c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117">
        <f>175501+MAX(0,váltás_kezdet-13)*58500</f>
        <v>175501</v>
      </c>
      <c r="BB55" s="17">
        <f t="shared" si="86"/>
        <v>13</v>
      </c>
      <c r="BC55" s="17">
        <f t="shared" si="87"/>
        <v>11</v>
      </c>
      <c r="BD55" s="17">
        <f t="shared" si="88"/>
        <v>11</v>
      </c>
      <c r="BE55" s="17">
        <f t="shared" si="89"/>
        <v>13</v>
      </c>
      <c r="BF55" s="17">
        <f t="shared" si="90"/>
        <v>13</v>
      </c>
      <c r="BG55" s="17">
        <f t="shared" si="91"/>
        <v>10</v>
      </c>
      <c r="BH55" s="17">
        <f t="shared" si="92"/>
        <v>13</v>
      </c>
      <c r="BI55" s="17">
        <f t="shared" si="93"/>
        <v>13</v>
      </c>
      <c r="BJ55" s="17">
        <f t="shared" si="94"/>
        <v>13</v>
      </c>
      <c r="BK55" s="17">
        <f t="shared" si="95"/>
        <v>13</v>
      </c>
      <c r="BL55" s="17">
        <f t="shared" si="98"/>
        <v>0</v>
      </c>
      <c r="BM55" s="13">
        <f t="shared" si="96"/>
        <v>0</v>
      </c>
      <c r="BN55" s="12"/>
      <c r="BO55" s="12"/>
      <c r="BP55" s="12"/>
      <c r="BQ55" s="12"/>
      <c r="BR55" s="12"/>
      <c r="BS55" s="12"/>
      <c r="BT55" s="12"/>
      <c r="BU55" s="12"/>
      <c r="BV55" s="12"/>
      <c r="BW55" s="51"/>
      <c r="BX55" s="12" t="s">
        <v>131</v>
      </c>
      <c r="BY55" s="12" t="s">
        <v>129</v>
      </c>
      <c r="BZ55" s="12" t="s">
        <v>129</v>
      </c>
      <c r="CA55" s="12" t="s">
        <v>131</v>
      </c>
      <c r="CB55" s="12" t="s">
        <v>131</v>
      </c>
      <c r="CC55" s="12" t="s">
        <v>128</v>
      </c>
      <c r="CD55" s="12" t="s">
        <v>131</v>
      </c>
      <c r="CE55" s="12" t="s">
        <v>131</v>
      </c>
      <c r="CF55" s="12" t="s">
        <v>131</v>
      </c>
      <c r="CG55" s="12" t="s">
        <v>131</v>
      </c>
      <c r="CH55" s="10">
        <v>3</v>
      </c>
      <c r="CI55" s="10">
        <v>18</v>
      </c>
      <c r="CJ55" s="148"/>
      <c r="CK55" s="63"/>
    </row>
    <row r="56" spans="1:89" ht="15.75">
      <c r="A56" s="72" t="s">
        <v>239</v>
      </c>
      <c r="B56" s="10"/>
      <c r="C56" s="283" t="s">
        <v>785</v>
      </c>
      <c r="D56" s="133">
        <f>IF(többes_kaszt=iker_kaszt,HM_kaszt,választott_kaszt_1)</f>
        <v>0</v>
      </c>
      <c r="E56" s="14">
        <f>SUMIFS(INDEX(kasztok,,10+COLUMN()),INDEX(kasztok,,1),$D$56)</f>
        <v>0</v>
      </c>
      <c r="F56" s="14">
        <f>SUMIFS(INDEX(kasztok,,10+COLUMN()),INDEX(kasztok,,1),$D$56)</f>
        <v>0</v>
      </c>
      <c r="G56" s="14">
        <f>SUMIFS(INDEX(kasztok,,10+COLUMN()),INDEX(kasztok,,1),$D$56)</f>
        <v>0</v>
      </c>
      <c r="H56" s="16">
        <f>MAX(SUMIFS(INDEX(kasztok,,10+COLUMN()),INDEX(kasztok,,1),$D$56),IF($D$56="",0,IF(választott_faj=elf,20,IF(választott_faj=félelf,10,0))))</f>
        <v>0</v>
      </c>
      <c r="I56" s="126"/>
      <c r="J56" s="10"/>
      <c r="K56" s="10"/>
      <c r="L56" s="10" t="s">
        <v>109</v>
      </c>
      <c r="M56" s="33">
        <v>0</v>
      </c>
      <c r="N56" s="33">
        <v>176</v>
      </c>
      <c r="O56" s="33">
        <v>353</v>
      </c>
      <c r="P56" s="33">
        <v>721</v>
      </c>
      <c r="Q56" s="33">
        <v>1501</v>
      </c>
      <c r="R56" s="33">
        <v>3501</v>
      </c>
      <c r="S56" s="33">
        <v>7001</v>
      </c>
      <c r="T56" s="33">
        <v>10501</v>
      </c>
      <c r="U56" s="33">
        <v>21001</v>
      </c>
      <c r="V56" s="33">
        <v>48001</v>
      </c>
      <c r="W56" s="33">
        <v>78001</v>
      </c>
      <c r="X56" s="33">
        <v>108001</v>
      </c>
      <c r="Y56" s="34">
        <f>138001+MAX(0,SUMIFS(INDEX(választott_kasztok,,10),INDEX(választott_kasztok,,1),$L56)-13)*38000</f>
        <v>138001</v>
      </c>
      <c r="Z56" s="20">
        <v>5</v>
      </c>
      <c r="AA56" s="20">
        <v>20</v>
      </c>
      <c r="AB56" s="20">
        <v>75</v>
      </c>
      <c r="AC56" s="20">
        <v>0</v>
      </c>
      <c r="AD56" s="10">
        <f>MAX(10,SUMIFS(INDEX(választott_kasztok,,10),INDEX(választott_kasztok,,1),$L56)*10)</f>
        <v>10</v>
      </c>
      <c r="AE56" s="10">
        <f>MAX(4,SUMIFS(INDEX(választott_kasztok,,10),INDEX(választott_kasztok,,1),$L56)*4)</f>
        <v>4</v>
      </c>
      <c r="AF56" s="10">
        <f>MAX(4,SUMIFS(INDEX(választott_kasztok,,10),INDEX(választott_kasztok,,1),$L56)*4)</f>
        <v>4</v>
      </c>
      <c r="AG56" s="20">
        <f>IF(AND(többes_kaszt=iker_kaszt,váltás_kezdet=0,váltás_kezdet&lt;&gt;""),0,1)</f>
        <v>1</v>
      </c>
      <c r="AH56" s="10">
        <f>MAX(0,IF(választott_kaszt_1=$L56,IF(váltás_kezdet="",VLOOKUP($L56,választott_kasztok,10,FALSE)*3,MIN(VLOOKUP($L56,választott_kasztok,10,FALSE),váltás_kezdet)*3+IF(többes_kaszt=iker_kaszt,MAX(0,VLOOKUP($L56,választott_kasztok,10,FALSE)-váltás_kezdet),0)+IF(többes_kaszt=váltott_kaszt,MAX(0,váltás_kezdet-VLOOKUP($L56,választott_kasztok,10,FALSE))*3)),0)+IF(választott_kaszt_2=$L56,VLOOKUP($L56,választott_kasztok,10,FALSE)*IF(többes_kaszt=iker_kaszt,1,3),0))</f>
        <v>0</v>
      </c>
      <c r="AI56" s="10">
        <f>MAX(15,IF(AND(többes_kaszt=váltott_kaszt,választott_kaszt_1=$L56),váltás_kezdet*15,SUMIFS(INDEX(választott_kasztok,,10),INDEX(választott_kasztok,,1),$L56)*15))</f>
        <v>15</v>
      </c>
      <c r="AJ56" s="20">
        <v>6</v>
      </c>
      <c r="AK56" s="20">
        <v>6</v>
      </c>
      <c r="AL56" s="10">
        <f>MAX(1,SUMIFS(INDEX(választott_kasztok,,10),INDEX(választott_kasztok,,1),$L56))*(k6dobás+4)</f>
        <v>10</v>
      </c>
      <c r="AM56" s="10">
        <f>MAX(6,SUMIFS(INDEX(választott_kasztok,,10),INDEX(választott_kasztok,,1),$L56)*6)</f>
        <v>6</v>
      </c>
      <c r="AN56" s="20" t="s">
        <v>1183</v>
      </c>
      <c r="AO56" s="209"/>
      <c r="AP56" s="33">
        <v>0</v>
      </c>
      <c r="AQ56" s="56">
        <v>20</v>
      </c>
      <c r="AR56" s="56">
        <v>25</v>
      </c>
      <c r="AS56" s="56">
        <v>15</v>
      </c>
      <c r="AT56" s="56"/>
      <c r="AU56" s="56"/>
      <c r="AV56" s="56"/>
      <c r="AW56" s="56"/>
      <c r="AX56" s="56"/>
      <c r="AY56" s="56"/>
      <c r="AZ56" s="56"/>
      <c r="BA56" s="117">
        <f>138001+MAX(0,váltás_kezdet-13)*38000</f>
        <v>138001</v>
      </c>
      <c r="BB56" s="17">
        <f t="shared" si="86"/>
        <v>14</v>
      </c>
      <c r="BC56" s="17">
        <f t="shared" si="87"/>
        <v>11</v>
      </c>
      <c r="BD56" s="17">
        <f t="shared" si="88"/>
        <v>11</v>
      </c>
      <c r="BE56" s="17">
        <f t="shared" si="89"/>
        <v>14</v>
      </c>
      <c r="BF56" s="116">
        <f t="shared" si="90"/>
        <v>16</v>
      </c>
      <c r="BG56" s="17">
        <f t="shared" si="91"/>
        <v>14</v>
      </c>
      <c r="BH56" s="17">
        <f t="shared" si="92"/>
        <v>13</v>
      </c>
      <c r="BI56" s="17">
        <f t="shared" si="93"/>
        <v>14</v>
      </c>
      <c r="BJ56" s="17">
        <f t="shared" si="94"/>
        <v>16</v>
      </c>
      <c r="BK56" s="17">
        <f t="shared" si="95"/>
        <v>14</v>
      </c>
      <c r="BL56" s="17">
        <f t="shared" si="98"/>
        <v>0</v>
      </c>
      <c r="BM56" s="13">
        <f t="shared" si="96"/>
        <v>0</v>
      </c>
      <c r="BN56" s="12" t="s">
        <v>262</v>
      </c>
      <c r="BO56" s="12"/>
      <c r="BP56" s="12"/>
      <c r="BQ56" s="12"/>
      <c r="BR56" s="12"/>
      <c r="BS56" s="12"/>
      <c r="BT56" s="12"/>
      <c r="BU56" s="12"/>
      <c r="BV56" s="12"/>
      <c r="BW56" s="51"/>
      <c r="BX56" s="12" t="s">
        <v>132</v>
      </c>
      <c r="BY56" s="12" t="s">
        <v>129</v>
      </c>
      <c r="BZ56" s="12" t="s">
        <v>129</v>
      </c>
      <c r="CA56" s="12" t="s">
        <v>132</v>
      </c>
      <c r="CB56" s="12" t="s">
        <v>135</v>
      </c>
      <c r="CC56" s="12" t="s">
        <v>132</v>
      </c>
      <c r="CD56" s="12" t="s">
        <v>131</v>
      </c>
      <c r="CE56" s="12" t="s">
        <v>132</v>
      </c>
      <c r="CF56" s="12" t="s">
        <v>134</v>
      </c>
      <c r="CG56" s="12" t="s">
        <v>132</v>
      </c>
      <c r="CH56" s="20">
        <v>5</v>
      </c>
      <c r="CI56" s="10">
        <v>6</v>
      </c>
      <c r="CJ56" s="148"/>
      <c r="CK56" s="63"/>
    </row>
    <row r="57" spans="1:89" ht="15.75">
      <c r="A57" s="72" t="s">
        <v>250</v>
      </c>
      <c r="B57" s="10"/>
      <c r="C57" s="15" t="s">
        <v>782</v>
      </c>
      <c r="D57" s="134">
        <f>IF(többes_kaszt=iker_kaszt,HM_kaszt,választott_kaszt_1)</f>
        <v>0</v>
      </c>
      <c r="E57" s="14">
        <f>IF(OR($D$57=Noir_Bálványtagadó,$D$57=Noir_Befogadott),kaszt_szint_1*2,0)+IF(OR($D$57=barbár,$D$57=rhó),kaszt_szint_1*3,0)+IF($D$57=Den_Aliud,kaszt_szint_1*4,0)</f>
        <v>0</v>
      </c>
      <c r="F57" s="14">
        <f>SUMIFS(INDEX(kasztok,,14+COLUMN()),INDEX(kasztok,,1),$D$57)</f>
        <v>0</v>
      </c>
      <c r="G57" s="14">
        <f>SUMIFS(INDEX(kasztok,,14+COLUMN()),INDEX(kasztok,,1),$D$57)</f>
        <v>0</v>
      </c>
      <c r="H57" s="16">
        <f>IF(OR($D$57=edorli_gyalogos,$D$57=ilanori_vágtató,$D$57=nasti_könnyűlovas,$D$57=yllinori_sas),kaszt_szint_1*3,0)</f>
        <v>0</v>
      </c>
      <c r="I57" s="16">
        <f>SUM(E$57:H$57)</f>
        <v>0</v>
      </c>
      <c r="J57" s="10"/>
      <c r="K57" s="10"/>
      <c r="L57" s="10" t="s">
        <v>304</v>
      </c>
      <c r="M57" s="34">
        <v>0</v>
      </c>
      <c r="N57" s="34">
        <v>161</v>
      </c>
      <c r="O57" s="34">
        <v>331</v>
      </c>
      <c r="P57" s="34">
        <v>661</v>
      </c>
      <c r="Q57" s="34">
        <v>1301</v>
      </c>
      <c r="R57" s="34">
        <v>2601</v>
      </c>
      <c r="S57" s="34">
        <v>5001</v>
      </c>
      <c r="T57" s="34">
        <v>9001</v>
      </c>
      <c r="U57" s="34">
        <v>23001</v>
      </c>
      <c r="V57" s="34">
        <v>50001</v>
      </c>
      <c r="W57" s="34">
        <v>90001</v>
      </c>
      <c r="X57" s="34">
        <v>130001</v>
      </c>
      <c r="Y57" s="34">
        <f>165001+MAX(0,SUMIFS(INDEX(választott_kasztok,,10),INDEX(választott_kasztok,,1),$L57)-13)*50000</f>
        <v>165001</v>
      </c>
      <c r="Z57" s="20">
        <v>5</v>
      </c>
      <c r="AA57" s="20">
        <v>17</v>
      </c>
      <c r="AB57" s="20">
        <v>72</v>
      </c>
      <c r="AC57" s="20">
        <v>0</v>
      </c>
      <c r="AD57" s="10">
        <f>MAX(8,SUMIFS(INDEX(választott_kasztok,,10),INDEX(választott_kasztok,,1),$L57)*8)</f>
        <v>8</v>
      </c>
      <c r="AE57" s="10">
        <f t="shared" ref="AE57:AF60" si="122">MAX(3,SUMIFS(INDEX(választott_kasztok,,10),INDEX(választott_kasztok,,1),$L57)*3)</f>
        <v>3</v>
      </c>
      <c r="AF57" s="10">
        <f t="shared" si="122"/>
        <v>3</v>
      </c>
      <c r="AG57" s="20">
        <f>IF(AND(többes_kaszt=iker_kaszt,váltás_kezdet=0,váltás_kezdet&lt;&gt;""),0,6)</f>
        <v>6</v>
      </c>
      <c r="AH57" s="10">
        <f>MAX(0,IF(választott_kaszt_1=$L57,IF(váltás_kezdet="",VLOOKUP($L57,választott_kasztok,10,FALSE)*10,MIN(VLOOKUP($L57,választott_kasztok,10,FALSE),váltás_kezdet)*10+IF(többes_kaszt=iker_kaszt,MAX(0,VLOOKUP($L57,választott_kasztok,10,FALSE)-váltás_kezdet),0)+IF(többes_kaszt=váltott_kaszt,MAX(0,váltás_kezdet-VLOOKUP($L57,választott_kasztok,10,FALSE))*10)),0)+IF(választott_kaszt_2=$L57,VLOOKUP($L57,választott_kasztok,10,FALSE)*IF(többes_kaszt=iker_kaszt,1,10),0))</f>
        <v>0</v>
      </c>
      <c r="AI57" s="20">
        <v>0</v>
      </c>
      <c r="AJ57" s="20">
        <v>6</v>
      </c>
      <c r="AK57" s="20">
        <v>6</v>
      </c>
      <c r="AL57" s="10">
        <f>MAX(1,SUMIFS(INDEX(választott_kasztok,,10),INDEX(választott_kasztok,,1),$L57))*(k6dobás+2)</f>
        <v>8</v>
      </c>
      <c r="AM57" s="10">
        <f>MAX(9,MIN(1,SUMIFS(INDEX(választott_kasztok,,10),INDEX(választott_kasztok,,1),$L57))*9+MAX(0,SUMIFS(INDEX(választott_kasztok,,10),INDEX(választott_kasztok,,1),$L57)-1)*(6+ROUNDUP(k6dobás/2,0)))</f>
        <v>9</v>
      </c>
      <c r="AN57" s="20" t="s">
        <v>1183</v>
      </c>
      <c r="AO57" s="209"/>
      <c r="AP57" s="33">
        <v>0</v>
      </c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117">
        <f>165001+MAX(0,váltás_kezdet-13)*50000</f>
        <v>165001</v>
      </c>
      <c r="BB57" s="17">
        <f t="shared" si="86"/>
        <v>13</v>
      </c>
      <c r="BC57" s="17">
        <f t="shared" si="87"/>
        <v>11</v>
      </c>
      <c r="BD57" s="17">
        <f t="shared" si="88"/>
        <v>11</v>
      </c>
      <c r="BE57" s="17">
        <f t="shared" si="89"/>
        <v>13</v>
      </c>
      <c r="BF57" s="17">
        <f t="shared" si="90"/>
        <v>14</v>
      </c>
      <c r="BG57" s="116">
        <f t="shared" si="91"/>
        <v>16</v>
      </c>
      <c r="BH57" s="17">
        <f t="shared" si="92"/>
        <v>14</v>
      </c>
      <c r="BI57" s="17">
        <f t="shared" si="93"/>
        <v>14</v>
      </c>
      <c r="BJ57" s="17">
        <f t="shared" si="94"/>
        <v>16</v>
      </c>
      <c r="BK57" s="17">
        <f t="shared" si="95"/>
        <v>14</v>
      </c>
      <c r="BL57" s="17">
        <f t="shared" si="98"/>
        <v>0</v>
      </c>
      <c r="BM57" s="13">
        <f t="shared" si="96"/>
        <v>0</v>
      </c>
      <c r="BN57" s="12"/>
      <c r="BO57" s="12"/>
      <c r="BP57" s="12"/>
      <c r="BQ57" s="12"/>
      <c r="BR57" s="12"/>
      <c r="BS57" s="12"/>
      <c r="BT57" s="12"/>
      <c r="BU57" s="12" t="s">
        <v>262</v>
      </c>
      <c r="BV57" s="12" t="s">
        <v>262</v>
      </c>
      <c r="BW57" s="51"/>
      <c r="BX57" s="12" t="s">
        <v>131</v>
      </c>
      <c r="BY57" s="12" t="s">
        <v>129</v>
      </c>
      <c r="BZ57" s="12" t="s">
        <v>129</v>
      </c>
      <c r="CA57" s="12" t="s">
        <v>131</v>
      </c>
      <c r="CB57" s="12" t="s">
        <v>132</v>
      </c>
      <c r="CC57" s="12" t="s">
        <v>135</v>
      </c>
      <c r="CD57" s="12" t="s">
        <v>132</v>
      </c>
      <c r="CE57" s="12" t="s">
        <v>132</v>
      </c>
      <c r="CF57" s="12" t="s">
        <v>134</v>
      </c>
      <c r="CG57" s="12" t="s">
        <v>132</v>
      </c>
      <c r="CH57" s="10">
        <v>3</v>
      </c>
      <c r="CI57" s="10">
        <v>6</v>
      </c>
      <c r="CJ57" s="148"/>
      <c r="CK57" s="63"/>
    </row>
    <row r="58" spans="1:89" ht="15.75" thickBot="1">
      <c r="A58" s="72" t="s">
        <v>244</v>
      </c>
      <c r="B58" s="10"/>
      <c r="C58" s="123" t="s">
        <v>783</v>
      </c>
      <c r="D58" s="135"/>
      <c r="E58" s="124">
        <f>SUM(E$56:E$57)</f>
        <v>0</v>
      </c>
      <c r="F58" s="124">
        <f t="shared" ref="F58:H58" si="123">SUM(F$56:F$57)</f>
        <v>0</v>
      </c>
      <c r="G58" s="124">
        <f t="shared" si="123"/>
        <v>0</v>
      </c>
      <c r="H58" s="125">
        <f t="shared" si="123"/>
        <v>0</v>
      </c>
      <c r="I58" s="125">
        <f>SUMIFS(INDEX(kasztok,,19),INDEX(kasztok,,1),$D$57)</f>
        <v>0</v>
      </c>
      <c r="J58" s="10"/>
      <c r="K58" s="10"/>
      <c r="L58" s="261" t="s">
        <v>305</v>
      </c>
      <c r="M58" s="33">
        <v>0</v>
      </c>
      <c r="N58" s="33">
        <v>161</v>
      </c>
      <c r="O58" s="33">
        <v>321</v>
      </c>
      <c r="P58" s="33">
        <v>641</v>
      </c>
      <c r="Q58" s="33">
        <v>1441</v>
      </c>
      <c r="R58" s="34">
        <v>2801</v>
      </c>
      <c r="S58" s="33">
        <v>5601</v>
      </c>
      <c r="T58" s="33">
        <v>10001</v>
      </c>
      <c r="U58" s="33">
        <v>20001</v>
      </c>
      <c r="V58" s="33">
        <v>40001</v>
      </c>
      <c r="W58" s="33">
        <v>60001</v>
      </c>
      <c r="X58" s="33">
        <v>80001</v>
      </c>
      <c r="Y58" s="34">
        <f>112001+MAX(0,SUMIFS(INDEX(választott_kasztok,,10),INDEX(választott_kasztok,,1),$L58)-13)*31200</f>
        <v>112001</v>
      </c>
      <c r="Z58" s="10">
        <v>9</v>
      </c>
      <c r="AA58" s="10">
        <v>20</v>
      </c>
      <c r="AB58" s="10">
        <v>75</v>
      </c>
      <c r="AC58" s="10">
        <v>0</v>
      </c>
      <c r="AD58" s="10">
        <f>MAX(11,SUMIFS(INDEX(választott_kasztok,,10),INDEX(választott_kasztok,,1),$L58)*11)</f>
        <v>11</v>
      </c>
      <c r="AE58" s="10">
        <f t="shared" si="122"/>
        <v>3</v>
      </c>
      <c r="AF58" s="10">
        <f t="shared" si="122"/>
        <v>3</v>
      </c>
      <c r="AG58" s="20">
        <f>IF(AND(többes_kaszt=iker_kaszt,váltás_kezdet=0,váltás_kezdet&lt;&gt;""),0,10)</f>
        <v>10</v>
      </c>
      <c r="AH58" s="10">
        <f>MAX(0,IF(választott_kaszt_1=$L58,IF(váltás_kezdet="",VLOOKUP($L58,választott_kasztok,10,FALSE)*14,MIN(VLOOKUP($L58,választott_kasztok,10,FALSE),váltás_kezdet)*14+IF(többes_kaszt=iker_kaszt,MAX(0,VLOOKUP($L58,választott_kasztok,10,FALSE)-váltás_kezdet),0)+IF(többes_kaszt=váltott_kaszt,MAX(0,váltás_kezdet-VLOOKUP($L58,választott_kasztok,10,FALSE))*14)),0)+IF(választott_kaszt_2=$L58,VLOOKUP($L58,választott_kasztok,10,FALSE)*IF(többes_kaszt=iker_kaszt,1,14),0))</f>
        <v>0</v>
      </c>
      <c r="AI58" s="10">
        <v>0</v>
      </c>
      <c r="AJ58" s="10">
        <v>7</v>
      </c>
      <c r="AK58" s="10">
        <v>6</v>
      </c>
      <c r="AL58" s="10">
        <f>MAX(1,SUMIFS(INDEX(választott_kasztok,,10),INDEX(választott_kasztok,,1),$L58))*(k6dobás+4)</f>
        <v>10</v>
      </c>
      <c r="AM58" s="10"/>
      <c r="AN58" s="20" t="str">
        <f>IF(OR(tanultAfTSZ&gt;0,tanultMfTSZ&gt;0),pyarroni,nincsen)</f>
        <v>nincs</v>
      </c>
      <c r="AO58" s="208" t="str">
        <f>IF(tanultMfkaszt=0,"00",IF(INDEX(választott_kasztok,tanultMfkaszt,1)=$L58,TEXT(tanultMfTSZ,"00"),"00"))&amp;IF(tanultAfkaszt=0,"00",IF(INDEX(választott_kasztok,tanultAfkaszt,1)=$L58,TEXT(tanultAfTSZ,"00"),"00"))&amp;"01"</f>
        <v>000001</v>
      </c>
      <c r="AP58" s="33">
        <v>0</v>
      </c>
      <c r="AQ58" s="56">
        <f>IF(SUMIFS(INDEX(választott_kasztok,,10),INDEX(választott_kasztok,,1),$L58)&gt;=3,15,0)</f>
        <v>0</v>
      </c>
      <c r="AR58" s="56">
        <v>20</v>
      </c>
      <c r="AS58" s="56">
        <v>10</v>
      </c>
      <c r="AT58" s="56"/>
      <c r="AU58" s="56"/>
      <c r="AV58" s="56"/>
      <c r="AW58" s="56"/>
      <c r="AX58" s="56"/>
      <c r="AY58" s="56"/>
      <c r="AZ58" s="56"/>
      <c r="BA58" s="117">
        <f>112001+MAX(0,váltás_kezdet-13)*31200</f>
        <v>112001</v>
      </c>
      <c r="BB58" s="17">
        <f t="shared" si="86"/>
        <v>16</v>
      </c>
      <c r="BC58" s="17">
        <f t="shared" si="87"/>
        <v>13</v>
      </c>
      <c r="BD58" s="17">
        <f t="shared" si="88"/>
        <v>13</v>
      </c>
      <c r="BE58" s="17">
        <f t="shared" si="89"/>
        <v>14</v>
      </c>
      <c r="BF58" s="116">
        <f t="shared" si="90"/>
        <v>16</v>
      </c>
      <c r="BG58" s="17">
        <f t="shared" si="91"/>
        <v>11</v>
      </c>
      <c r="BH58" s="17">
        <f t="shared" si="92"/>
        <v>11</v>
      </c>
      <c r="BI58" s="17">
        <f t="shared" si="93"/>
        <v>13</v>
      </c>
      <c r="BJ58" s="17">
        <f t="shared" si="94"/>
        <v>11</v>
      </c>
      <c r="BK58" s="17">
        <f t="shared" si="95"/>
        <v>13</v>
      </c>
      <c r="BL58" s="17">
        <f t="shared" si="98"/>
        <v>0</v>
      </c>
      <c r="BM58" s="13">
        <f t="shared" si="96"/>
        <v>0</v>
      </c>
      <c r="BN58" s="12" t="s">
        <v>262</v>
      </c>
      <c r="BO58" s="12" t="s">
        <v>262</v>
      </c>
      <c r="BP58" s="12" t="s">
        <v>262</v>
      </c>
      <c r="BQ58" s="12" t="s">
        <v>262</v>
      </c>
      <c r="BR58" s="12"/>
      <c r="BS58" s="12"/>
      <c r="BT58" s="12"/>
      <c r="BU58" s="12"/>
      <c r="BV58" s="12"/>
      <c r="BW58" s="51"/>
      <c r="BX58" s="12" t="s">
        <v>134</v>
      </c>
      <c r="BY58" s="12" t="s">
        <v>131</v>
      </c>
      <c r="BZ58" s="12" t="s">
        <v>131</v>
      </c>
      <c r="CA58" s="12" t="s">
        <v>132</v>
      </c>
      <c r="CB58" s="12" t="s">
        <v>135</v>
      </c>
      <c r="CC58" s="12" t="s">
        <v>129</v>
      </c>
      <c r="CD58" s="12" t="s">
        <v>129</v>
      </c>
      <c r="CE58" s="12" t="s">
        <v>131</v>
      </c>
      <c r="CF58" s="12" t="s">
        <v>129</v>
      </c>
      <c r="CG58" s="12" t="s">
        <v>131</v>
      </c>
      <c r="CH58" s="10">
        <v>3</v>
      </c>
      <c r="CI58" s="10">
        <v>18</v>
      </c>
      <c r="CJ58" s="148"/>
      <c r="CK58" s="63"/>
    </row>
    <row r="59" spans="1:89" ht="16.5" thickTop="1">
      <c r="A59" s="72" t="s">
        <v>245</v>
      </c>
      <c r="B59" s="10"/>
      <c r="C59" s="128" t="s">
        <v>785</v>
      </c>
      <c r="D59" s="136" t="str">
        <f>IF(többes_kaszt=váltott_kaszt,választott_kaszt_2,"")</f>
        <v/>
      </c>
      <c r="E59" s="129">
        <f>SUMIFS(INDEX(kasztok,,10+COLUMN()),INDEX(kasztok,,1),$D$59)</f>
        <v>0</v>
      </c>
      <c r="F59" s="129">
        <f>SUMIFS(INDEX(kasztok,,10+COLUMN()),INDEX(kasztok,,1),$D$59)</f>
        <v>0</v>
      </c>
      <c r="G59" s="129">
        <f>SUMIFS(INDEX(kasztok,,10+COLUMN()),INDEX(kasztok,,1),$D$59)</f>
        <v>0</v>
      </c>
      <c r="H59" s="130">
        <f>MAX(SUMIFS(INDEX(kasztok,,10+COLUMN()),INDEX(kasztok,,1),$D$59),IF($D$59="",0,IF(választott_faj=elf,20,IF(választott_faj=félelf,10,0))))</f>
        <v>0</v>
      </c>
      <c r="I59" s="132"/>
      <c r="J59" s="10"/>
      <c r="K59" s="10"/>
      <c r="L59" s="10" t="s">
        <v>369</v>
      </c>
      <c r="M59" s="34">
        <v>0</v>
      </c>
      <c r="N59" s="34">
        <v>161</v>
      </c>
      <c r="O59" s="34">
        <v>331</v>
      </c>
      <c r="P59" s="34">
        <v>661</v>
      </c>
      <c r="Q59" s="34">
        <v>1301</v>
      </c>
      <c r="R59" s="34">
        <v>2601</v>
      </c>
      <c r="S59" s="34">
        <v>5001</v>
      </c>
      <c r="T59" s="34">
        <v>9001</v>
      </c>
      <c r="U59" s="34">
        <v>23001</v>
      </c>
      <c r="V59" s="34">
        <v>50001</v>
      </c>
      <c r="W59" s="34">
        <v>90001</v>
      </c>
      <c r="X59" s="34">
        <v>130001</v>
      </c>
      <c r="Y59" s="34">
        <f>165001+MAX(0,SUMIFS(INDEX(választott_kasztok,,10),INDEX(választott_kasztok,,1),$L59)-13)*50000</f>
        <v>165001</v>
      </c>
      <c r="Z59" s="20">
        <v>5</v>
      </c>
      <c r="AA59" s="20">
        <v>17</v>
      </c>
      <c r="AB59" s="20">
        <v>72</v>
      </c>
      <c r="AC59" s="20">
        <v>0</v>
      </c>
      <c r="AD59" s="10">
        <f>MAX(8,SUMIFS(INDEX(választott_kasztok,,10),INDEX(választott_kasztok,,1),$L59)*8)</f>
        <v>8</v>
      </c>
      <c r="AE59" s="10">
        <f t="shared" si="122"/>
        <v>3</v>
      </c>
      <c r="AF59" s="10">
        <f t="shared" si="122"/>
        <v>3</v>
      </c>
      <c r="AG59" s="20">
        <f>IF(AND(többes_kaszt=iker_kaszt,váltás_kezdet=0,váltás_kezdet&lt;&gt;""),0,6)</f>
        <v>6</v>
      </c>
      <c r="AH59" s="10">
        <f>MAX(0,IF(választott_kaszt_1=$L59,IF(váltás_kezdet="",VLOOKUP($L59,választott_kasztok,10,FALSE)*10,MIN(VLOOKUP($L59,választott_kasztok,10,FALSE),váltás_kezdet)*10+IF(többes_kaszt=iker_kaszt,MAX(0,VLOOKUP($L59,választott_kasztok,10,FALSE)-váltás_kezdet),0)+IF(többes_kaszt=váltott_kaszt,MAX(0,váltás_kezdet-VLOOKUP($L59,választott_kasztok,10,FALSE))*10)),0)+IF(választott_kaszt_2=$L59,VLOOKUP($L59,választott_kasztok,10,FALSE)*IF(többes_kaszt=iker_kaszt,1,10),0))</f>
        <v>0</v>
      </c>
      <c r="AI59" s="20">
        <v>0</v>
      </c>
      <c r="AJ59" s="20">
        <v>6</v>
      </c>
      <c r="AK59" s="20">
        <v>6</v>
      </c>
      <c r="AL59" s="10">
        <f>MAX(1,SUMIFS(INDEX(választott_kasztok,,10),INDEX(választott_kasztok,,1),$L59))*(k6dobás+2)</f>
        <v>8</v>
      </c>
      <c r="AM59" s="10">
        <f>MAX(9,MIN(1,SUMIFS(INDEX(választott_kasztok,,10),INDEX(választott_kasztok,,1),$L59))*9+MAX(0,SUMIFS(INDEX(választott_kasztok,,10),INDEX(választott_kasztok,,1),$L59)-1)*(6+ROUNDUP(k6dobás/2,0)))</f>
        <v>9</v>
      </c>
      <c r="AN59" s="20" t="s">
        <v>1183</v>
      </c>
      <c r="AO59" s="209"/>
      <c r="AP59" s="33">
        <v>0</v>
      </c>
      <c r="AQ59" s="56"/>
      <c r="AR59" s="56"/>
      <c r="AS59" s="56"/>
      <c r="AT59" s="56"/>
      <c r="AU59" s="56"/>
      <c r="AV59" s="56"/>
      <c r="AW59" s="56"/>
      <c r="AX59" s="56"/>
      <c r="AY59" s="56">
        <v>35</v>
      </c>
      <c r="AZ59" s="56">
        <v>15</v>
      </c>
      <c r="BA59" s="117">
        <f>165001+MAX(0,váltás_kezdet-13)*50000</f>
        <v>165001</v>
      </c>
      <c r="BB59" s="17">
        <f t="shared" si="86"/>
        <v>13</v>
      </c>
      <c r="BC59" s="17">
        <f t="shared" si="87"/>
        <v>11</v>
      </c>
      <c r="BD59" s="17">
        <f t="shared" si="88"/>
        <v>11</v>
      </c>
      <c r="BE59" s="17">
        <f t="shared" si="89"/>
        <v>13</v>
      </c>
      <c r="BF59" s="17">
        <f t="shared" si="90"/>
        <v>14</v>
      </c>
      <c r="BG59" s="116">
        <f t="shared" si="91"/>
        <v>16</v>
      </c>
      <c r="BH59" s="17">
        <f t="shared" si="92"/>
        <v>14</v>
      </c>
      <c r="BI59" s="17">
        <f t="shared" si="93"/>
        <v>14</v>
      </c>
      <c r="BJ59" s="17">
        <f t="shared" si="94"/>
        <v>16</v>
      </c>
      <c r="BK59" s="17">
        <f t="shared" si="95"/>
        <v>14</v>
      </c>
      <c r="BL59" s="17">
        <f t="shared" si="98"/>
        <v>0</v>
      </c>
      <c r="BM59" s="13">
        <f t="shared" si="96"/>
        <v>0</v>
      </c>
      <c r="BN59" s="12"/>
      <c r="BO59" s="12"/>
      <c r="BP59" s="12"/>
      <c r="BQ59" s="12"/>
      <c r="BR59" s="12"/>
      <c r="BS59" s="12"/>
      <c r="BT59" s="12"/>
      <c r="BU59" s="12" t="s">
        <v>262</v>
      </c>
      <c r="BV59" s="12" t="s">
        <v>262</v>
      </c>
      <c r="BW59" s="51"/>
      <c r="BX59" s="12" t="s">
        <v>131</v>
      </c>
      <c r="BY59" s="12" t="s">
        <v>129</v>
      </c>
      <c r="BZ59" s="12" t="s">
        <v>129</v>
      </c>
      <c r="CA59" s="12" t="s">
        <v>131</v>
      </c>
      <c r="CB59" s="12" t="s">
        <v>132</v>
      </c>
      <c r="CC59" s="12" t="s">
        <v>135</v>
      </c>
      <c r="CD59" s="12" t="s">
        <v>132</v>
      </c>
      <c r="CE59" s="12" t="s">
        <v>132</v>
      </c>
      <c r="CF59" s="12" t="s">
        <v>134</v>
      </c>
      <c r="CG59" s="12" t="s">
        <v>132</v>
      </c>
      <c r="CH59" s="10">
        <v>3</v>
      </c>
      <c r="CI59" s="10">
        <v>6</v>
      </c>
      <c r="CJ59" s="148"/>
      <c r="CK59" s="63"/>
    </row>
    <row r="60" spans="1:89" ht="15.75">
      <c r="A60" s="72" t="s">
        <v>232</v>
      </c>
      <c r="B60" s="10"/>
      <c r="C60" s="15" t="s">
        <v>782</v>
      </c>
      <c r="D60" s="134" t="str">
        <f>IF(többes_kaszt=váltott_kaszt,választott_kaszt_2,"")</f>
        <v/>
      </c>
      <c r="E60" s="14">
        <f>IF(OR($D$60=Noir_Bálványtagadó,$D$60=Noir_Befogadott),kaszt_szint_2*2,0)+IF(OR($D$60=barbár,$D$60=rhó),kaszt_szint_2*3,0)+IF($D$60=Den_Aliud,kaszt_szint_2*4,0)</f>
        <v>0</v>
      </c>
      <c r="F60" s="14">
        <f>SUMIFS(INDEX(kasztok,,14+COLUMN()),INDEX(kasztok,,1),$D$60)</f>
        <v>0</v>
      </c>
      <c r="G60" s="14">
        <f>SUMIFS(INDEX(kasztok,,14+COLUMN()),INDEX(kasztok,,1),$D$60)</f>
        <v>0</v>
      </c>
      <c r="H60" s="16">
        <f>IF(OR($D$60=edorli_gyalogos,$D$60=ilanori_vágtató,$D$60=nasti_könnyűlovas,$D$60=yllinori_sas),kaszt_szint_2*3,0)</f>
        <v>0</v>
      </c>
      <c r="I60" s="16">
        <f>SUM(E$60:H$60)</f>
        <v>0</v>
      </c>
      <c r="J60" s="10"/>
      <c r="K60" s="10"/>
      <c r="L60" s="10" t="s">
        <v>370</v>
      </c>
      <c r="M60" s="34">
        <v>0</v>
      </c>
      <c r="N60" s="34">
        <v>161</v>
      </c>
      <c r="O60" s="34">
        <v>331</v>
      </c>
      <c r="P60" s="34">
        <v>661</v>
      </c>
      <c r="Q60" s="34">
        <v>1301</v>
      </c>
      <c r="R60" s="34">
        <v>2601</v>
      </c>
      <c r="S60" s="34">
        <v>5001</v>
      </c>
      <c r="T60" s="34">
        <v>9001</v>
      </c>
      <c r="U60" s="34">
        <v>23001</v>
      </c>
      <c r="V60" s="34">
        <v>50001</v>
      </c>
      <c r="W60" s="34">
        <v>90001</v>
      </c>
      <c r="X60" s="34">
        <v>130001</v>
      </c>
      <c r="Y60" s="34">
        <f>165001+MAX(0,SUMIFS(INDEX(választott_kasztok,,10),INDEX(választott_kasztok,,1),$L60)-13)*50000</f>
        <v>165001</v>
      </c>
      <c r="Z60" s="20">
        <v>5</v>
      </c>
      <c r="AA60" s="20">
        <v>17</v>
      </c>
      <c r="AB60" s="20">
        <v>72</v>
      </c>
      <c r="AC60" s="20">
        <v>0</v>
      </c>
      <c r="AD60" s="10">
        <f>MAX(8,SUMIFS(INDEX(választott_kasztok,,10),INDEX(választott_kasztok,,1),$L60)*8)</f>
        <v>8</v>
      </c>
      <c r="AE60" s="10">
        <f t="shared" si="122"/>
        <v>3</v>
      </c>
      <c r="AF60" s="10">
        <f t="shared" si="122"/>
        <v>3</v>
      </c>
      <c r="AG60" s="20">
        <f>IF(AND(többes_kaszt=iker_kaszt,váltás_kezdet=0,váltás_kezdet&lt;&gt;""),0,6)</f>
        <v>6</v>
      </c>
      <c r="AH60" s="10">
        <f>MAX(0,IF(választott_kaszt_1=$L60,IF(váltás_kezdet="",VLOOKUP($L60,választott_kasztok,10,FALSE)*10,MIN(VLOOKUP($L60,választott_kasztok,10,FALSE),váltás_kezdet)*10+IF(többes_kaszt=iker_kaszt,MAX(0,VLOOKUP($L60,választott_kasztok,10,FALSE)-váltás_kezdet),0)+IF(többes_kaszt=váltott_kaszt,MAX(0,váltás_kezdet-VLOOKUP($L60,választott_kasztok,10,FALSE))*10)),0)+IF(választott_kaszt_2=$L60,VLOOKUP($L60,választott_kasztok,10,FALSE)*IF(többes_kaszt=iker_kaszt,1,10),0))</f>
        <v>0</v>
      </c>
      <c r="AI60" s="20">
        <v>0</v>
      </c>
      <c r="AJ60" s="20">
        <v>6</v>
      </c>
      <c r="AK60" s="20">
        <v>6</v>
      </c>
      <c r="AL60" s="10">
        <f>MAX(1,SUMIFS(INDEX(választott_kasztok,,10),INDEX(választott_kasztok,,1),$L60))*(k6dobás+2)</f>
        <v>8</v>
      </c>
      <c r="AM60" s="10">
        <f>MAX(9,MIN(1,SUMIFS(INDEX(választott_kasztok,,10),INDEX(választott_kasztok,,1),$L60))*9+MAX(0,SUMIFS(INDEX(választott_kasztok,,10),INDEX(választott_kasztok,,1),$L60)-1)*(6+ROUNDUP(k6dobás/2,0)))</f>
        <v>9</v>
      </c>
      <c r="AN60" s="20" t="s">
        <v>1183</v>
      </c>
      <c r="AO60" s="209"/>
      <c r="AP60" s="33">
        <v>0</v>
      </c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117">
        <f>165001+MAX(0,váltás_kezdet-13)*50000</f>
        <v>165001</v>
      </c>
      <c r="BB60" s="17">
        <f t="shared" si="86"/>
        <v>13</v>
      </c>
      <c r="BC60" s="17">
        <f t="shared" si="87"/>
        <v>11</v>
      </c>
      <c r="BD60" s="17">
        <f t="shared" si="88"/>
        <v>11</v>
      </c>
      <c r="BE60" s="17">
        <f t="shared" si="89"/>
        <v>13</v>
      </c>
      <c r="BF60" s="17">
        <f t="shared" si="90"/>
        <v>14</v>
      </c>
      <c r="BG60" s="116">
        <f t="shared" si="91"/>
        <v>16</v>
      </c>
      <c r="BH60" s="17">
        <f t="shared" si="92"/>
        <v>14</v>
      </c>
      <c r="BI60" s="17">
        <f t="shared" si="93"/>
        <v>14</v>
      </c>
      <c r="BJ60" s="17">
        <f t="shared" si="94"/>
        <v>16</v>
      </c>
      <c r="BK60" s="17">
        <f t="shared" si="95"/>
        <v>14</v>
      </c>
      <c r="BL60" s="17">
        <f t="shared" si="98"/>
        <v>0</v>
      </c>
      <c r="BM60" s="13">
        <f t="shared" si="96"/>
        <v>0</v>
      </c>
      <c r="BN60" s="12"/>
      <c r="BO60" s="12"/>
      <c r="BP60" s="12"/>
      <c r="BQ60" s="12"/>
      <c r="BR60" s="12"/>
      <c r="BS60" s="12"/>
      <c r="BT60" s="12"/>
      <c r="BU60" s="12" t="s">
        <v>262</v>
      </c>
      <c r="BV60" s="12" t="s">
        <v>262</v>
      </c>
      <c r="BW60" s="51"/>
      <c r="BX60" s="12" t="s">
        <v>131</v>
      </c>
      <c r="BY60" s="12" t="s">
        <v>129</v>
      </c>
      <c r="BZ60" s="12" t="s">
        <v>129</v>
      </c>
      <c r="CA60" s="12" t="s">
        <v>131</v>
      </c>
      <c r="CB60" s="12" t="s">
        <v>132</v>
      </c>
      <c r="CC60" s="12" t="s">
        <v>135</v>
      </c>
      <c r="CD60" s="12" t="s">
        <v>132</v>
      </c>
      <c r="CE60" s="12" t="s">
        <v>132</v>
      </c>
      <c r="CF60" s="12" t="s">
        <v>134</v>
      </c>
      <c r="CG60" s="12" t="s">
        <v>132</v>
      </c>
      <c r="CH60" s="10">
        <v>3</v>
      </c>
      <c r="CI60" s="10">
        <v>6</v>
      </c>
      <c r="CJ60" s="148"/>
      <c r="CK60" s="63"/>
    </row>
    <row r="61" spans="1:89" ht="17.25" customHeight="1" thickBot="1">
      <c r="A61" s="72" t="s">
        <v>383</v>
      </c>
      <c r="B61" s="10"/>
      <c r="C61" s="123" t="s">
        <v>783</v>
      </c>
      <c r="D61" s="131"/>
      <c r="E61" s="124">
        <f>SUM(E$59:E$60)</f>
        <v>0</v>
      </c>
      <c r="F61" s="124">
        <f t="shared" ref="F61:H61" si="124">SUM(F$59:F$60)</f>
        <v>0</v>
      </c>
      <c r="G61" s="124">
        <f t="shared" si="124"/>
        <v>0</v>
      </c>
      <c r="H61" s="125">
        <f t="shared" si="124"/>
        <v>0</v>
      </c>
      <c r="I61" s="125">
        <f>SUMIFS(INDEX(kasztok,,19),INDEX(kasztok,,1),$D$60)</f>
        <v>0</v>
      </c>
      <c r="J61" s="10"/>
      <c r="K61" s="10"/>
      <c r="L61" s="263" t="s">
        <v>24</v>
      </c>
      <c r="M61" s="33">
        <v>0</v>
      </c>
      <c r="N61" s="33">
        <v>189</v>
      </c>
      <c r="O61" s="33">
        <v>377</v>
      </c>
      <c r="P61" s="33">
        <v>826</v>
      </c>
      <c r="Q61" s="33">
        <v>1651</v>
      </c>
      <c r="R61" s="33">
        <v>3301</v>
      </c>
      <c r="S61" s="33">
        <v>7251</v>
      </c>
      <c r="T61" s="33">
        <v>12051</v>
      </c>
      <c r="U61" s="33">
        <v>24001</v>
      </c>
      <c r="V61" s="33">
        <v>48001</v>
      </c>
      <c r="W61" s="33">
        <v>68001</v>
      </c>
      <c r="X61" s="33">
        <v>93001</v>
      </c>
      <c r="Y61" s="34">
        <f>130001+MAX(0,SUMIFS(INDEX(választott_kasztok,,10),INDEX(választott_kasztok,,1),$L61)-13)*40000</f>
        <v>130001</v>
      </c>
      <c r="Z61" s="10">
        <v>9</v>
      </c>
      <c r="AA61" s="10">
        <v>20</v>
      </c>
      <c r="AB61" s="10">
        <v>75</v>
      </c>
      <c r="AC61" s="10">
        <v>0</v>
      </c>
      <c r="AD61" s="10">
        <f>MAX(12,SUMIFS(INDEX(választott_kasztok,,10),INDEX(választott_kasztok,,1),$L61)*12)</f>
        <v>12</v>
      </c>
      <c r="AE61" s="10">
        <f>MAX(4,SUMIFS(INDEX(választott_kasztok,,10),INDEX(választott_kasztok,,1),$L61)*4)</f>
        <v>4</v>
      </c>
      <c r="AF61" s="10">
        <f>MAX(4,SUMIFS(INDEX(választott_kasztok,,10),INDEX(választott_kasztok,,1),$L61)*4)</f>
        <v>4</v>
      </c>
      <c r="AG61" s="20">
        <f>IF(AND(többes_kaszt=iker_kaszt,váltás_kezdet=0,váltás_kezdet&lt;&gt;""),0,3)</f>
        <v>3</v>
      </c>
      <c r="AH61" s="10">
        <f>MAX(0,IF(választott_kaszt_1=$L61,IF(váltás_kezdet="",VLOOKUP($L61,választott_kasztok,10,FALSE)*6,MIN(VLOOKUP($L61,választott_kasztok,10,FALSE),váltás_kezdet)*6+IF(többes_kaszt=iker_kaszt,MAX(0,VLOOKUP($L61,választott_kasztok,10,FALSE)-váltás_kezdet),0)+IF(többes_kaszt=váltott_kaszt,MAX(0,váltás_kezdet-VLOOKUP($L61,választott_kasztok,10,FALSE))*6)),0)+IF(választott_kaszt_2=$L61,VLOOKUP($L61,választott_kasztok,10,FALSE)*IF(többes_kaszt=iker_kaszt,1,6),0))</f>
        <v>0</v>
      </c>
      <c r="AI61" s="10">
        <v>0</v>
      </c>
      <c r="AJ61" s="10">
        <v>8</v>
      </c>
      <c r="AK61" s="10">
        <v>7</v>
      </c>
      <c r="AL61" s="10">
        <f>MAX(1,SUMIFS(INDEX(választott_kasztok,,10),INDEX(választott_kasztok,,1),$L61))*(k6dobás+5)</f>
        <v>11</v>
      </c>
      <c r="AM61" s="10"/>
      <c r="AN61" s="20" t="str">
        <f>IF(OR(tanultAfTSZ&gt;0,tanultMfTSZ&gt;0),pyarroni,nincsen)</f>
        <v>nincs</v>
      </c>
      <c r="AO61" s="208" t="str">
        <f>IF(tanultMfkaszt=0,"00",IF(INDEX(választott_kasztok,tanultMfkaszt,1)=$L61,TEXT(tanultMfTSZ,"00"),"00"))&amp;IF(tanultAfkaszt=0,"00",IF(INDEX(választott_kasztok,tanultAfkaszt,1)=$L61,TEXT(tanultAfTSZ,"00"),"00"))&amp;"01"</f>
        <v>000001</v>
      </c>
      <c r="AP61" s="33">
        <v>0</v>
      </c>
      <c r="AQ61" s="56"/>
      <c r="AR61" s="56">
        <v>30</v>
      </c>
      <c r="AS61" s="56">
        <v>20</v>
      </c>
      <c r="AT61" s="56"/>
      <c r="AU61" s="56"/>
      <c r="AV61" s="56"/>
      <c r="AW61" s="56"/>
      <c r="AX61" s="56"/>
      <c r="AY61" s="56"/>
      <c r="AZ61" s="56"/>
      <c r="BA61" s="117">
        <f>130001+MAX(0,váltás_kezdet-13)*40000</f>
        <v>130001</v>
      </c>
      <c r="BB61" s="17">
        <f t="shared" si="86"/>
        <v>16</v>
      </c>
      <c r="BC61" s="17">
        <f t="shared" si="87"/>
        <v>13</v>
      </c>
      <c r="BD61" s="17">
        <f t="shared" si="88"/>
        <v>13</v>
      </c>
      <c r="BE61" s="17">
        <f t="shared" si="89"/>
        <v>16</v>
      </c>
      <c r="BF61" s="116">
        <f t="shared" si="90"/>
        <v>16</v>
      </c>
      <c r="BG61" s="17">
        <f t="shared" si="91"/>
        <v>13</v>
      </c>
      <c r="BH61" s="17">
        <f t="shared" si="92"/>
        <v>10</v>
      </c>
      <c r="BI61" s="17">
        <f t="shared" si="93"/>
        <v>10</v>
      </c>
      <c r="BJ61" s="17">
        <f t="shared" si="94"/>
        <v>10</v>
      </c>
      <c r="BK61" s="17">
        <f t="shared" si="95"/>
        <v>13</v>
      </c>
      <c r="BL61" s="17">
        <f t="shared" si="98"/>
        <v>0</v>
      </c>
      <c r="BM61" s="13">
        <f t="shared" si="96"/>
        <v>0</v>
      </c>
      <c r="BN61" s="12" t="s">
        <v>262</v>
      </c>
      <c r="BO61" s="12" t="s">
        <v>262</v>
      </c>
      <c r="BP61" s="12" t="s">
        <v>262</v>
      </c>
      <c r="BQ61" s="12" t="s">
        <v>262</v>
      </c>
      <c r="BR61" s="12"/>
      <c r="BS61" s="12"/>
      <c r="BT61" s="12"/>
      <c r="BU61" s="12"/>
      <c r="BV61" s="12"/>
      <c r="BW61" s="51"/>
      <c r="BX61" s="12" t="s">
        <v>134</v>
      </c>
      <c r="BY61" s="12" t="s">
        <v>131</v>
      </c>
      <c r="BZ61" s="12" t="s">
        <v>131</v>
      </c>
      <c r="CA61" s="12" t="s">
        <v>134</v>
      </c>
      <c r="CB61" s="12" t="s">
        <v>135</v>
      </c>
      <c r="CC61" s="12" t="s">
        <v>131</v>
      </c>
      <c r="CD61" s="12" t="s">
        <v>128</v>
      </c>
      <c r="CE61" s="12" t="s">
        <v>128</v>
      </c>
      <c r="CF61" s="12" t="s">
        <v>128</v>
      </c>
      <c r="CG61" s="12" t="s">
        <v>131</v>
      </c>
      <c r="CH61" s="20">
        <v>1</v>
      </c>
      <c r="CI61" s="10">
        <v>12</v>
      </c>
      <c r="CJ61" s="148"/>
      <c r="CK61" s="63"/>
    </row>
    <row r="62" spans="1:89" ht="16.5" thickTop="1" thickBot="1">
      <c r="A62" s="73" t="s">
        <v>229</v>
      </c>
      <c r="B62" s="10"/>
      <c r="C62" s="614" t="s">
        <v>789</v>
      </c>
      <c r="D62" s="615"/>
      <c r="E62" s="129">
        <f>IF(E$59&gt;E$58,E$59,E$56)</f>
        <v>0</v>
      </c>
      <c r="F62" s="129">
        <f t="shared" ref="F62:H62" si="125">IF(F$59&gt;F$58,F$59,F$56)</f>
        <v>0</v>
      </c>
      <c r="G62" s="129">
        <f t="shared" si="125"/>
        <v>0</v>
      </c>
      <c r="H62" s="130">
        <f t="shared" si="125"/>
        <v>0</v>
      </c>
      <c r="I62" s="132"/>
      <c r="J62" s="10"/>
      <c r="K62" s="10"/>
      <c r="L62" s="261" t="s">
        <v>306</v>
      </c>
      <c r="M62" s="33">
        <v>0</v>
      </c>
      <c r="N62" s="33">
        <v>161</v>
      </c>
      <c r="O62" s="33">
        <v>321</v>
      </c>
      <c r="P62" s="33">
        <v>641</v>
      </c>
      <c r="Q62" s="33">
        <v>1441</v>
      </c>
      <c r="R62" s="34">
        <v>2801</v>
      </c>
      <c r="S62" s="33">
        <v>5601</v>
      </c>
      <c r="T62" s="33">
        <v>10001</v>
      </c>
      <c r="U62" s="33">
        <v>20001</v>
      </c>
      <c r="V62" s="33">
        <v>40001</v>
      </c>
      <c r="W62" s="33">
        <v>60001</v>
      </c>
      <c r="X62" s="33">
        <v>80001</v>
      </c>
      <c r="Y62" s="34">
        <f>112001+MAX(0,SUMIFS(INDEX(választott_kasztok,,10),INDEX(választott_kasztok,,1),$L62)-13)*31200</f>
        <v>112001</v>
      </c>
      <c r="Z62" s="10">
        <v>9</v>
      </c>
      <c r="AA62" s="10">
        <v>20</v>
      </c>
      <c r="AB62" s="10">
        <v>75</v>
      </c>
      <c r="AC62" s="10">
        <v>0</v>
      </c>
      <c r="AD62" s="10">
        <f>MAX(11,SUMIFS(INDEX(választott_kasztok,,10),INDEX(választott_kasztok,,1),$L62)*11)</f>
        <v>11</v>
      </c>
      <c r="AE62" s="10">
        <f>MAX(3,SUMIFS(INDEX(választott_kasztok,,10),INDEX(választott_kasztok,,1),$L62)*3)</f>
        <v>3</v>
      </c>
      <c r="AF62" s="10">
        <f>MAX(3,SUMIFS(INDEX(választott_kasztok,,10),INDEX(választott_kasztok,,1),$L62)*3)</f>
        <v>3</v>
      </c>
      <c r="AG62" s="20">
        <f>IF(AND(többes_kaszt=iker_kaszt,váltás_kezdet=0,váltás_kezdet&lt;&gt;""),0,10)</f>
        <v>10</v>
      </c>
      <c r="AH62" s="10">
        <f>MAX(0,IF(választott_kaszt_1=$L62,IF(váltás_kezdet="",VLOOKUP($L62,választott_kasztok,10,FALSE)*10,MIN(VLOOKUP($L62,választott_kasztok,10,FALSE),váltás_kezdet)*10+IF(többes_kaszt=iker_kaszt,MAX(0,VLOOKUP($L62,választott_kasztok,10,FALSE)-váltás_kezdet),0)+IF(többes_kaszt=váltott_kaszt,MAX(0,váltás_kezdet-VLOOKUP($L62,választott_kasztok,10,FALSE))*10)),0)+IF(választott_kaszt_2=$L62,VLOOKUP($L62,választott_kasztok,10,FALSE)*IF(többes_kaszt=iker_kaszt,1,10),0))</f>
        <v>0</v>
      </c>
      <c r="AI62" s="10">
        <v>0</v>
      </c>
      <c r="AJ62" s="10">
        <v>7</v>
      </c>
      <c r="AK62" s="10">
        <v>6</v>
      </c>
      <c r="AL62" s="10">
        <f>MAX(1,SUMIFS(INDEX(választott_kasztok,,10),INDEX(választott_kasztok,,1),$L62))*(k6dobás+4)</f>
        <v>10</v>
      </c>
      <c r="AM62" s="10"/>
      <c r="AN62" s="20" t="str">
        <f>IF(OR(tanultAfTSZ&gt;0,tanultMfTSZ&gt;0),pyarroni,nincsen)</f>
        <v>nincs</v>
      </c>
      <c r="AO62" s="208" t="str">
        <f>IF(tanultMfkaszt=0,"00",IF(INDEX(választott_kasztok,tanultMfkaszt,1)=$L62,TEXT(tanultMfTSZ,"00"),"00"))&amp;IF(tanultAfkaszt=0,"00",IF(INDEX(választott_kasztok,tanultAfkaszt,1)=$L62,TEXT(tanultAfTSZ,"00"),"00"))&amp;"01"</f>
        <v>000001</v>
      </c>
      <c r="AP62" s="33">
        <v>0</v>
      </c>
      <c r="AQ62" s="56">
        <v>15</v>
      </c>
      <c r="AR62" s="56">
        <v>20</v>
      </c>
      <c r="AS62" s="56">
        <v>10</v>
      </c>
      <c r="AT62" s="56"/>
      <c r="AU62" s="56"/>
      <c r="AV62" s="56"/>
      <c r="AW62" s="56"/>
      <c r="AX62" s="56"/>
      <c r="AY62" s="56"/>
      <c r="AZ62" s="56"/>
      <c r="BA62" s="117">
        <f>112001+MAX(0,váltás_kezdet-13)*31200</f>
        <v>112001</v>
      </c>
      <c r="BB62" s="17">
        <f t="shared" si="86"/>
        <v>16</v>
      </c>
      <c r="BC62" s="17">
        <f t="shared" si="87"/>
        <v>13</v>
      </c>
      <c r="BD62" s="17">
        <f t="shared" si="88"/>
        <v>13</v>
      </c>
      <c r="BE62" s="17">
        <f t="shared" si="89"/>
        <v>14</v>
      </c>
      <c r="BF62" s="116">
        <f t="shared" si="90"/>
        <v>16</v>
      </c>
      <c r="BG62" s="17">
        <f t="shared" si="91"/>
        <v>11</v>
      </c>
      <c r="BH62" s="17">
        <f t="shared" si="92"/>
        <v>11</v>
      </c>
      <c r="BI62" s="17">
        <f t="shared" si="93"/>
        <v>13</v>
      </c>
      <c r="BJ62" s="17">
        <f t="shared" si="94"/>
        <v>11</v>
      </c>
      <c r="BK62" s="17">
        <f t="shared" si="95"/>
        <v>13</v>
      </c>
      <c r="BL62" s="17">
        <f t="shared" si="98"/>
        <v>0</v>
      </c>
      <c r="BM62" s="13">
        <f t="shared" si="96"/>
        <v>0</v>
      </c>
      <c r="BN62" s="12" t="s">
        <v>262</v>
      </c>
      <c r="BO62" s="12" t="s">
        <v>262</v>
      </c>
      <c r="BP62" s="12" t="s">
        <v>262</v>
      </c>
      <c r="BQ62" s="12" t="s">
        <v>262</v>
      </c>
      <c r="BR62" s="12"/>
      <c r="BS62" s="12"/>
      <c r="BT62" s="12"/>
      <c r="BU62" s="12"/>
      <c r="BV62" s="12"/>
      <c r="BW62" s="51"/>
      <c r="BX62" s="12" t="s">
        <v>134</v>
      </c>
      <c r="BY62" s="12" t="s">
        <v>131</v>
      </c>
      <c r="BZ62" s="12" t="s">
        <v>131</v>
      </c>
      <c r="CA62" s="12" t="s">
        <v>132</v>
      </c>
      <c r="CB62" s="12" t="s">
        <v>135</v>
      </c>
      <c r="CC62" s="12" t="s">
        <v>129</v>
      </c>
      <c r="CD62" s="12" t="s">
        <v>129</v>
      </c>
      <c r="CE62" s="12" t="s">
        <v>131</v>
      </c>
      <c r="CF62" s="12" t="s">
        <v>129</v>
      </c>
      <c r="CG62" s="12" t="s">
        <v>131</v>
      </c>
      <c r="CH62" s="10">
        <v>3</v>
      </c>
      <c r="CI62" s="10">
        <v>18</v>
      </c>
      <c r="CJ62" s="148"/>
      <c r="CK62" s="63"/>
    </row>
    <row r="63" spans="1:89" ht="15.75">
      <c r="A63" s="10"/>
      <c r="B63" s="28"/>
      <c r="C63" s="612" t="s">
        <v>787</v>
      </c>
      <c r="D63" s="624"/>
      <c r="E63" s="14">
        <f>E$57+MAX(0,E$60+MIN(0,E$59-E$58))</f>
        <v>0</v>
      </c>
      <c r="F63" s="14">
        <f t="shared" ref="F63:H63" si="126">F$57+MAX(0,F$60+MIN(0,F$59-F$58))</f>
        <v>0</v>
      </c>
      <c r="G63" s="14">
        <f t="shared" si="126"/>
        <v>0</v>
      </c>
      <c r="H63" s="16">
        <f t="shared" si="126"/>
        <v>0</v>
      </c>
      <c r="I63" s="269">
        <f>SUM(E$63:H$63)</f>
        <v>0</v>
      </c>
      <c r="J63" s="10"/>
      <c r="K63" s="10"/>
      <c r="L63" s="261" t="s">
        <v>307</v>
      </c>
      <c r="M63" s="33">
        <v>0</v>
      </c>
      <c r="N63" s="33">
        <v>161</v>
      </c>
      <c r="O63" s="33">
        <v>321</v>
      </c>
      <c r="P63" s="33">
        <v>641</v>
      </c>
      <c r="Q63" s="33">
        <v>1441</v>
      </c>
      <c r="R63" s="34">
        <v>2801</v>
      </c>
      <c r="S63" s="33">
        <v>5601</v>
      </c>
      <c r="T63" s="33">
        <v>10001</v>
      </c>
      <c r="U63" s="33">
        <v>20001</v>
      </c>
      <c r="V63" s="33">
        <v>40001</v>
      </c>
      <c r="W63" s="33">
        <v>60001</v>
      </c>
      <c r="X63" s="33">
        <v>80001</v>
      </c>
      <c r="Y63" s="34">
        <f>112001+MAX(0,SUMIFS(INDEX(választott_kasztok,,10),INDEX(választott_kasztok,,1),$L63)-13)*31200</f>
        <v>112001</v>
      </c>
      <c r="Z63" s="10">
        <v>9</v>
      </c>
      <c r="AA63" s="10">
        <v>20</v>
      </c>
      <c r="AB63" s="10">
        <v>75</v>
      </c>
      <c r="AC63" s="10">
        <v>0</v>
      </c>
      <c r="AD63" s="10">
        <f>MAX(11,SUMIFS(INDEX(választott_kasztok,,10),INDEX(választott_kasztok,,1),$L63)*11)</f>
        <v>11</v>
      </c>
      <c r="AE63" s="10">
        <f>MAX(3,SUMIFS(INDEX(választott_kasztok,,10),INDEX(választott_kasztok,,1),$L63)*3)</f>
        <v>3</v>
      </c>
      <c r="AF63" s="10">
        <f>MAX(3,SUMIFS(INDEX(választott_kasztok,,10),INDEX(választott_kasztok,,1),$L63)*3)</f>
        <v>3</v>
      </c>
      <c r="AG63" s="20">
        <f>IF(AND(többes_kaszt=iker_kaszt,váltás_kezdet=0,váltás_kezdet&lt;&gt;""),0,10)</f>
        <v>10</v>
      </c>
      <c r="AH63" s="10">
        <f>MAX(0,IF(választott_kaszt_1=$L63,IF(váltás_kezdet="",VLOOKUP($L63,választott_kasztok,10,FALSE)*14,MIN(VLOOKUP($L63,választott_kasztok,10,FALSE),váltás_kezdet)*14+IF(többes_kaszt=iker_kaszt,MAX(0,VLOOKUP($L63,választott_kasztok,10,FALSE)-váltás_kezdet),0)+IF(többes_kaszt=váltott_kaszt,MAX(0,váltás_kezdet-VLOOKUP($L63,választott_kasztok,10,FALSE))*14)),0)+IF(választott_kaszt_2=$L63,VLOOKUP($L63,választott_kasztok,10,FALSE)*IF(többes_kaszt=iker_kaszt,1,14),0))</f>
        <v>0</v>
      </c>
      <c r="AI63" s="10">
        <v>0</v>
      </c>
      <c r="AJ63" s="10">
        <v>7</v>
      </c>
      <c r="AK63" s="10">
        <v>6</v>
      </c>
      <c r="AL63" s="10">
        <f>MAX(1,SUMIFS(INDEX(választott_kasztok,,10),INDEX(választott_kasztok,,1),$L63))*(k6dobás+4)</f>
        <v>10</v>
      </c>
      <c r="AM63" s="10"/>
      <c r="AN63" s="20" t="str">
        <f>IF(OR(tanultAfTSZ&gt;0,tanultMfTSZ&gt;0),pyarroni,nincsen)</f>
        <v>nincs</v>
      </c>
      <c r="AO63" s="208" t="str">
        <f>IF(tanultMfkaszt=0,"00",IF(INDEX(választott_kasztok,tanultMfkaszt,1)=$L63,TEXT(tanultMfTSZ,"00"),"00"))&amp;IF(tanultAfkaszt=0,"00",IF(INDEX(választott_kasztok,tanultAfkaszt,1)=$L63,TEXT(tanultAfTSZ,"00"),"00"))&amp;"01"</f>
        <v>000001</v>
      </c>
      <c r="AP63" s="33">
        <v>0</v>
      </c>
      <c r="AQ63" s="56">
        <v>15</v>
      </c>
      <c r="AR63" s="56">
        <v>20</v>
      </c>
      <c r="AS63" s="56">
        <v>10</v>
      </c>
      <c r="AT63" s="56"/>
      <c r="AU63" s="56"/>
      <c r="AV63" s="56"/>
      <c r="AW63" s="56"/>
      <c r="AX63" s="56"/>
      <c r="AY63" s="56"/>
      <c r="AZ63" s="56"/>
      <c r="BA63" s="117">
        <f>112001+MAX(0,váltás_kezdet-13)*31200</f>
        <v>112001</v>
      </c>
      <c r="BB63" s="17">
        <f t="shared" si="86"/>
        <v>16</v>
      </c>
      <c r="BC63" s="17">
        <f t="shared" si="87"/>
        <v>13</v>
      </c>
      <c r="BD63" s="17">
        <f t="shared" si="88"/>
        <v>13</v>
      </c>
      <c r="BE63" s="17">
        <f t="shared" si="89"/>
        <v>14</v>
      </c>
      <c r="BF63" s="116">
        <f t="shared" si="90"/>
        <v>16</v>
      </c>
      <c r="BG63" s="17">
        <f t="shared" si="91"/>
        <v>11</v>
      </c>
      <c r="BH63" s="17">
        <f t="shared" si="92"/>
        <v>11</v>
      </c>
      <c r="BI63" s="17">
        <f t="shared" si="93"/>
        <v>13</v>
      </c>
      <c r="BJ63" s="17">
        <f t="shared" si="94"/>
        <v>11</v>
      </c>
      <c r="BK63" s="17">
        <f t="shared" si="95"/>
        <v>13</v>
      </c>
      <c r="BL63" s="17">
        <f t="shared" si="98"/>
        <v>0</v>
      </c>
      <c r="BM63" s="13">
        <f t="shared" si="96"/>
        <v>0</v>
      </c>
      <c r="BN63" s="12" t="s">
        <v>262</v>
      </c>
      <c r="BO63" s="12" t="s">
        <v>262</v>
      </c>
      <c r="BP63" s="12" t="s">
        <v>262</v>
      </c>
      <c r="BQ63" s="12" t="s">
        <v>262</v>
      </c>
      <c r="BR63" s="12"/>
      <c r="BS63" s="12"/>
      <c r="BT63" s="12"/>
      <c r="BU63" s="12"/>
      <c r="BV63" s="12"/>
      <c r="BW63" s="51"/>
      <c r="BX63" s="12" t="s">
        <v>134</v>
      </c>
      <c r="BY63" s="12" t="s">
        <v>131</v>
      </c>
      <c r="BZ63" s="12" t="s">
        <v>131</v>
      </c>
      <c r="CA63" s="12" t="s">
        <v>132</v>
      </c>
      <c r="CB63" s="12" t="s">
        <v>135</v>
      </c>
      <c r="CC63" s="12" t="s">
        <v>129</v>
      </c>
      <c r="CD63" s="12" t="s">
        <v>129</v>
      </c>
      <c r="CE63" s="12" t="s">
        <v>131</v>
      </c>
      <c r="CF63" s="12" t="s">
        <v>129</v>
      </c>
      <c r="CG63" s="12" t="s">
        <v>131</v>
      </c>
      <c r="CH63" s="10">
        <v>3</v>
      </c>
      <c r="CI63" s="10">
        <v>18</v>
      </c>
      <c r="CJ63" s="148"/>
      <c r="CK63" s="63"/>
    </row>
    <row r="64" spans="1:89" ht="15.75" thickBot="1">
      <c r="A64" s="10"/>
      <c r="B64" s="10"/>
      <c r="C64" s="272" t="s">
        <v>788</v>
      </c>
      <c r="D64" s="282">
        <f>$I$58+$I$61+extraHM</f>
        <v>0</v>
      </c>
      <c r="E64" s="26">
        <f>-(E$57+E$60)+IF(többes_kaszt=váltott_kaszt,MIN(0,E$61-E$58),0)</f>
        <v>0</v>
      </c>
      <c r="F64" s="26">
        <f>-(F$57+F$60)+IF(többes_kaszt=váltott_kaszt,MIN(0,F$61-F$58),0)</f>
        <v>0</v>
      </c>
      <c r="G64" s="26">
        <f>-(G$57+G$60)+IF(többes_kaszt=váltott_kaszt,MIN(0,G$61-G$58),0)</f>
        <v>0</v>
      </c>
      <c r="H64" s="27">
        <f>-(H$57+H$60)+IF(többes_kaszt=váltott_kaszt,MIN(0,H$61-H$58),0)</f>
        <v>0</v>
      </c>
      <c r="I64" s="27">
        <f>MAX(0,SUM(D$64:H$64))</f>
        <v>0</v>
      </c>
      <c r="J64" s="10"/>
      <c r="K64" s="10"/>
      <c r="L64" s="264" t="s">
        <v>1169</v>
      </c>
      <c r="M64" s="33">
        <v>0</v>
      </c>
      <c r="N64" s="33">
        <v>191</v>
      </c>
      <c r="O64" s="33">
        <v>401</v>
      </c>
      <c r="P64" s="33">
        <v>901</v>
      </c>
      <c r="Q64" s="33">
        <v>1801</v>
      </c>
      <c r="R64" s="33">
        <v>3501</v>
      </c>
      <c r="S64" s="33">
        <v>7501</v>
      </c>
      <c r="T64" s="33">
        <v>15001</v>
      </c>
      <c r="U64" s="33">
        <v>30001</v>
      </c>
      <c r="V64" s="33">
        <v>60001</v>
      </c>
      <c r="W64" s="33">
        <v>110001</v>
      </c>
      <c r="X64" s="33">
        <v>160001</v>
      </c>
      <c r="Y64" s="34">
        <f>220001+MAX(0,SUMIFS(INDEX(választott_kasztok,,10),INDEX(választott_kasztok,,1),$L64)-13)*60000</f>
        <v>220001</v>
      </c>
      <c r="Z64" s="37">
        <f>10+ROUNDDOWN(SUMIFS(INDEX(választott_kasztok,,10),INDEX(választott_kasztok,,1),$L64)/2,0)</f>
        <v>10</v>
      </c>
      <c r="AA64" s="10">
        <v>20</v>
      </c>
      <c r="AB64" s="10">
        <v>75</v>
      </c>
      <c r="AC64" s="10">
        <v>0</v>
      </c>
      <c r="AD64" s="10">
        <f t="shared" ref="AD64:AD68" si="127">MAX(11,SUMIFS(INDEX(választott_kasztok,,10),INDEX(választott_kasztok,,1),$L64)*11)</f>
        <v>11</v>
      </c>
      <c r="AE64" s="10">
        <f t="shared" ref="AE64:AF68" si="128">MAX(4,SUMIFS(INDEX(választott_kasztok,,10),INDEX(választott_kasztok,,1),$L64)*4)</f>
        <v>4</v>
      </c>
      <c r="AF64" s="10">
        <f t="shared" si="128"/>
        <v>4</v>
      </c>
      <c r="AG64" s="20">
        <f>IF(AND(többes_kaszt=iker_kaszt,váltás_kezdet=0,váltás_kezdet&lt;&gt;""),0,3)</f>
        <v>3</v>
      </c>
      <c r="AH64" s="10">
        <f>MAX(0,IF(választott_kaszt_1=$L64,IF(váltás_kezdet="",VLOOKUP($L64,választott_kasztok,10,FALSE)*5,MIN(VLOOKUP($L64,választott_kasztok,10,FALSE),váltás_kezdet)*5+IF(többes_kaszt=iker_kaszt,MAX(0,VLOOKUP($L64,választott_kasztok,10,FALSE)-váltás_kezdet),0)+IF(többes_kaszt=váltott_kaszt,MAX(0,váltás_kezdet-VLOOKUP($L64,választott_kasztok,10,FALSE))*5)),0)+IF(választott_kaszt_2=$L64,VLOOKUP($L64,választott_kasztok,10,FALSE)*IF(többes_kaszt=iker_kaszt,1,5),0))</f>
        <v>0</v>
      </c>
      <c r="AI64" s="10">
        <f>MAX(20,IF(AND(többes_kaszt=váltott_kaszt,választott_kaszt_1=$L64),váltás_kezdet*20,SUMIFS(INDEX(választott_kasztok,,10),INDEX(választott_kasztok,,1),$L64)*20))</f>
        <v>20</v>
      </c>
      <c r="AJ64" s="10">
        <v>6</v>
      </c>
      <c r="AK64" s="10">
        <v>7</v>
      </c>
      <c r="AL64" s="10">
        <f>MAX(1,SUMIFS(INDEX(választott_kasztok,,10),INDEX(választott_kasztok,,1),$L64))*(k6dobás+5)</f>
        <v>11</v>
      </c>
      <c r="AM64" s="10"/>
      <c r="AN64" s="20" t="s">
        <v>1183</v>
      </c>
      <c r="AO64" s="209" t="str">
        <f>TEXT(IF(tanultMfkaszt=0,IF(SUMIFS(INDEX(választott_kasztok,,10),INDEX(választott_kasztok,,1),$L64)&lt;5,0,5),IF(INDEX(választott_kasztok,tanultMfkaszt,1)=$L64,IF(OR(tanultMfTSZ=0,tanultMfTSZ&gt;MIN(5,SUMIFS(INDEX(választott_kasztok,,10),INDEX(választott_kasztok,,1),$L64))),IF(SUMIFS(INDEX(választott_kasztok,,10),INDEX(választott_kasztok,,1),$L64)&lt;5,0,5),MIN(5,tanultMfTSZ)),0)),"00")&amp;"0101"</f>
        <v>000101</v>
      </c>
      <c r="AP64" s="33">
        <v>0</v>
      </c>
      <c r="AQ64" s="56">
        <v>30</v>
      </c>
      <c r="AR64" s="56">
        <v>15</v>
      </c>
      <c r="AS64" s="56">
        <v>15</v>
      </c>
      <c r="AT64" s="56">
        <v>40</v>
      </c>
      <c r="AU64" s="56">
        <v>25</v>
      </c>
      <c r="AV64" s="56"/>
      <c r="AW64" s="56"/>
      <c r="AX64" s="56">
        <v>10</v>
      </c>
      <c r="AY64" s="56"/>
      <c r="AZ64" s="56"/>
      <c r="BA64" s="117">
        <f>220001+MAX(0,váltás_kezdet-13)*60000</f>
        <v>220001</v>
      </c>
      <c r="BB64" s="17">
        <f t="shared" ref="BB64" si="129">MAX(SUMIFS(INDEX(dobások,,2),INDEX(dobások,,1),BX64)+SUMIFS(INDEX(fajok,,3),INDEX(fajok,,1),választott_faj),IF(AND(többes_kaszt=iker_kaszt,váltás_kezdet=1,választott_kaszt_1=$L64),SUMIFS(INDEX(kasztok,,43),INDEX(kasztok,,1),választott_kaszt_2),0))</f>
        <v>13</v>
      </c>
      <c r="BC64" s="17">
        <f t="shared" ref="BC64" si="130">MAX(SUMIFS(INDEX(dobások,,2),INDEX(dobások,,1),BY64)+SUMIFS(INDEX(fajok,,4),INDEX(fajok,,1),választott_faj),IF(AND(többes_kaszt=iker_kaszt,váltás_kezdet=1,választott_kaszt_1=$L64),SUMIFS(INDEX(kasztok,,44),INDEX(kasztok,,1),választott_kaszt_2),0))</f>
        <v>16</v>
      </c>
      <c r="BD64" s="17">
        <f t="shared" ref="BD64" si="131">MAX(SUMIFS(INDEX(dobások,,2),INDEX(dobások,,1),BZ64)+SUMIFS(INDEX(fajok,,5),INDEX(fajok,,1),választott_faj),IF(AND(többes_kaszt=iker_kaszt,váltás_kezdet=1,választott_kaszt_1=$L64),SUMIFS(INDEX(kasztok,,45),INDEX(kasztok,,1),választott_kaszt_2),0))</f>
        <v>14</v>
      </c>
      <c r="BE64" s="17">
        <f t="shared" ref="BE64" si="132">MAX(SUMIFS(INDEX(dobások,,2),INDEX(dobások,,1),CA64)+SUMIFS(INDEX(fajok,,6),INDEX(fajok,,1),választott_faj),IF(AND(többes_kaszt=iker_kaszt,váltás_kezdet=1,választott_kaszt_1=$L64),SUMIFS(INDEX(kasztok,,46),INDEX(kasztok,,1),választott_kaszt_2),0))</f>
        <v>16</v>
      </c>
      <c r="BF64" s="116">
        <f t="shared" ref="BF64" si="133">MAX(SUMIFS(INDEX(dobások,,2),INDEX(dobások,,1),CB64)+SUMIFS(INDEX(fajok,,7),INDEX(fajok,,1),választott_faj),IF(AND(többes_kaszt=iker_kaszt,váltás_kezdet=1,választott_kaszt_1=$L64),SUMIFS(INDEX(kasztok,,47),INDEX(kasztok,,1),választott_kaszt_2),0))</f>
        <v>16</v>
      </c>
      <c r="BG64" s="17">
        <f t="shared" ref="BG64" si="134">MAX(SUMIFS(INDEX(dobások,,2),INDEX(dobások,,1),CC64)+SUMIFS(INDEX(fajok,,8),INDEX(fajok,,1),választott_faj),IF(AND(többes_kaszt=iker_kaszt,váltás_kezdet=1,választott_kaszt_1=$L64),SUMIFS(INDEX(kasztok,,48),INDEX(kasztok,,1),választott_kaszt_2),0))</f>
        <v>10</v>
      </c>
      <c r="BH64" s="17">
        <f t="shared" ref="BH64" si="135">MAX(SUMIFS(INDEX(dobások,,2),INDEX(dobások,,1),CD64)+SUMIFS(INDEX(fajok,,9),INDEX(fajok,,1),választott_faj),IF(AND(többes_kaszt=iker_kaszt,váltás_kezdet=1,választott_kaszt_1=$L64),SUMIFS(INDEX(kasztok,,49),INDEX(kasztok,,1),választott_kaszt_2),0))</f>
        <v>11</v>
      </c>
      <c r="BI64" s="17">
        <f t="shared" ref="BI64" si="136">MAX(SUMIFS(INDEX(dobások,,2),INDEX(dobások,,1),CE64),IF(AND(többes_kaszt=iker_kaszt,váltás_kezdet=1,választott_kaszt_1=$L64),SUMIFS(INDEX(kasztok,,50),INDEX(kasztok,,1),választott_kaszt_2),0))</f>
        <v>14</v>
      </c>
      <c r="BJ64" s="17">
        <f t="shared" ref="BJ64" si="137">MAX(SUMIFS(INDEX(dobások,,2),INDEX(dobások,,1),CF64)+SUMIFS(INDEX(fajok,,10),INDEX(fajok,,1),választott_faj),IF(AND(többes_kaszt=iker_kaszt,váltás_kezdet=1,választott_kaszt_1=$L64),SUMIFS(INDEX(kasztok,,51),INDEX(kasztok,,1),választott_kaszt_2),0))</f>
        <v>13</v>
      </c>
      <c r="BK64" s="17">
        <f t="shared" ref="BK64" si="138">MAX(SUMIFS(INDEX(dobások,,2),INDEX(dobások,,1),CG64),IF(AND(többes_kaszt=iker_kaszt,váltás_kezdet=1,választott_kaszt_1=$L64),SUMIFS(INDEX(kasztok,,52),INDEX(kasztok,,1),választott_kaszt_2),0))</f>
        <v>16</v>
      </c>
      <c r="BL64" s="17">
        <f t="shared" si="98"/>
        <v>0</v>
      </c>
      <c r="BM64" s="13">
        <f t="shared" ref="BM64" si="139">MAX(0,erő-(SUMIFS(INDEX(dobások,,4),INDEX(dobások,,1),BX64)+SUMIFS(INDEX(fajok,,3),INDEX(fajok,,1),választott_faj)))+MAX(0,gyorsaság-(SUMIFS(INDEX(dobások,,4),INDEX(dobások,,1),BY64)+SUMIFS(INDEX(fajok,,4),INDEX(fajok,,1),választott_faj)))+MAX(0,ügyesség-(SUMIFS(INDEX(dobások,,4),INDEX(dobások,,1),BZ64)+SUMIFS(INDEX(fajok,,5),INDEX(fajok,,1),választott_faj)))+MAX(0,állóképesség-(SUMIFS(INDEX(dobások,,4),INDEX(dobások,,1),CA64)+SUMIFS(INDEX(fajok,,6),INDEX(fajok,,1),választott_faj)))+MAX(0,egészség-(SUMIFS(INDEX(dobások,,4),INDEX(dobások,,1),CB64)+SUMIFS(INDEX(fajok,,7),INDEX(fajok,,1),választott_faj)))+MAX(0,szépség-(SUMIFS(INDEX(dobások,,4),INDEX(dobások,,1),CC64)+SUMIFS(INDEX(fajok,,8),INDEX(fajok,,1),választott_faj)))+MAX(0,intelligencia-(SUMIFS(INDEX(dobások,,4),INDEX(dobások,,1),CD64)+SUMIFS(INDEX(fajok,,9),INDEX(fajok,,1),választott_faj)))+MAX(0,akaraterő-SUMIFS(INDEX(dobások,,4),INDEX(dobások,,1),CE64))+MAX(0,asztrál-(SUMIFS(INDEX(dobások,,4),INDEX(dobások,,1),CF64)+SUMIFS(INDEX(fajok,,10),INDEX(fajok,,1),választott_faj)))+MAX(0,érzékelés-SUMIFS(INDEX(dobások,,4),INDEX(dobások,,1),CG64))</f>
        <v>0</v>
      </c>
      <c r="BN64" s="12"/>
      <c r="BO64" s="12" t="s">
        <v>262</v>
      </c>
      <c r="BP64" s="12"/>
      <c r="BQ64" s="12" t="s">
        <v>262</v>
      </c>
      <c r="BR64" s="12"/>
      <c r="BS64" s="12"/>
      <c r="BT64" s="12"/>
      <c r="BU64" s="12"/>
      <c r="BV64" s="12"/>
      <c r="BW64" s="51"/>
      <c r="BX64" s="12" t="s">
        <v>131</v>
      </c>
      <c r="BY64" s="12" t="s">
        <v>134</v>
      </c>
      <c r="BZ64" s="12" t="s">
        <v>132</v>
      </c>
      <c r="CA64" s="12" t="s">
        <v>134</v>
      </c>
      <c r="CB64" s="12" t="s">
        <v>135</v>
      </c>
      <c r="CC64" s="12" t="s">
        <v>128</v>
      </c>
      <c r="CD64" s="12" t="s">
        <v>129</v>
      </c>
      <c r="CE64" s="12" t="s">
        <v>132</v>
      </c>
      <c r="CF64" s="12" t="s">
        <v>131</v>
      </c>
      <c r="CG64" s="12" t="s">
        <v>134</v>
      </c>
      <c r="CH64" s="10">
        <v>3</v>
      </c>
      <c r="CI64" s="10">
        <v>6</v>
      </c>
      <c r="CJ64" s="148"/>
      <c r="CK64" s="63"/>
    </row>
    <row r="65" spans="1:89" ht="15.75" thickBo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264" t="s">
        <v>1170</v>
      </c>
      <c r="M65" s="33">
        <v>0</v>
      </c>
      <c r="N65" s="33">
        <v>191</v>
      </c>
      <c r="O65" s="33">
        <v>401</v>
      </c>
      <c r="P65" s="33">
        <v>901</v>
      </c>
      <c r="Q65" s="33">
        <v>1801</v>
      </c>
      <c r="R65" s="33">
        <v>3501</v>
      </c>
      <c r="S65" s="33">
        <v>7501</v>
      </c>
      <c r="T65" s="33">
        <v>15001</v>
      </c>
      <c r="U65" s="33">
        <v>30001</v>
      </c>
      <c r="V65" s="33">
        <v>60001</v>
      </c>
      <c r="W65" s="33">
        <v>110001</v>
      </c>
      <c r="X65" s="33">
        <v>160001</v>
      </c>
      <c r="Y65" s="34">
        <f>220001+MAX(0,SUMIFS(INDEX(választott_kasztok,,10),INDEX(választott_kasztok,,1),$L65)-13)*60000</f>
        <v>220001</v>
      </c>
      <c r="Z65" s="37">
        <f>10+ROUNDDOWN(SUMIFS(INDEX(választott_kasztok,,10),INDEX(választott_kasztok,,1),$L65)/2,0)</f>
        <v>10</v>
      </c>
      <c r="AA65" s="10">
        <v>20</v>
      </c>
      <c r="AB65" s="10">
        <v>75</v>
      </c>
      <c r="AC65" s="10">
        <v>0</v>
      </c>
      <c r="AD65" s="10">
        <f t="shared" si="127"/>
        <v>11</v>
      </c>
      <c r="AE65" s="10">
        <f t="shared" si="128"/>
        <v>4</v>
      </c>
      <c r="AF65" s="10">
        <f t="shared" si="128"/>
        <v>4</v>
      </c>
      <c r="AG65" s="20">
        <f>IF(AND(többes_kaszt=iker_kaszt,váltás_kezdet=0,váltás_kezdet&lt;&gt;""),0,3)</f>
        <v>3</v>
      </c>
      <c r="AH65" s="10">
        <f>MAX(0,IF(választott_kaszt_1=$L65,IF(váltás_kezdet="",VLOOKUP($L65,választott_kasztok,10,FALSE)*5,MIN(VLOOKUP($L65,választott_kasztok,10,FALSE),váltás_kezdet)*5+IF(többes_kaszt=iker_kaszt,MAX(0,VLOOKUP($L65,választott_kasztok,10,FALSE)-váltás_kezdet),0)+IF(többes_kaszt=váltott_kaszt,MAX(0,váltás_kezdet-VLOOKUP($L65,választott_kasztok,10,FALSE))*5)),0)+IF(választott_kaszt_2=$L65,VLOOKUP($L65,választott_kasztok,10,FALSE)*IF(többes_kaszt=iker_kaszt,1,5),0))</f>
        <v>0</v>
      </c>
      <c r="AI65" s="10">
        <f>MAX(20,IF(AND(többes_kaszt=váltott_kaszt,választott_kaszt_1=$L65),váltás_kezdet*20,SUMIFS(INDEX(választott_kasztok,,10),INDEX(választott_kasztok,,1),$L65)*20))</f>
        <v>20</v>
      </c>
      <c r="AJ65" s="10">
        <v>6</v>
      </c>
      <c r="AK65" s="10">
        <v>7</v>
      </c>
      <c r="AL65" s="10">
        <f>MAX(1,SUMIFS(INDEX(választott_kasztok,,10),INDEX(választott_kasztok,,1),$L65))*(k6dobás+5)</f>
        <v>11</v>
      </c>
      <c r="AM65" s="10"/>
      <c r="AN65" s="20" t="s">
        <v>1183</v>
      </c>
      <c r="AO65" s="209" t="str">
        <f>TEXT(IF(tanultMfkaszt=0,IF(SUMIFS(INDEX(választott_kasztok,,10),INDEX(választott_kasztok,,1),$L65)&lt;5,0,5),IF(INDEX(választott_kasztok,tanultMfkaszt,1)=$L65,IF(OR(tanultMfTSZ=0,tanultMfTSZ&gt;MIN(5,SUMIFS(INDEX(választott_kasztok,,10),INDEX(választott_kasztok,,1),$L65))),IF(SUMIFS(INDEX(választott_kasztok,,10),INDEX(választott_kasztok,,1),$L65)&lt;5,0,5),MIN(5,tanultMfTSZ)),0)),"00")&amp;"0101"</f>
        <v>000101</v>
      </c>
      <c r="AP65" s="33">
        <v>0</v>
      </c>
      <c r="AQ65" s="56">
        <v>20</v>
      </c>
      <c r="AR65" s="56">
        <v>15</v>
      </c>
      <c r="AS65" s="56">
        <v>15</v>
      </c>
      <c r="AT65" s="56">
        <v>20</v>
      </c>
      <c r="AU65" s="56">
        <v>45</v>
      </c>
      <c r="AV65" s="56"/>
      <c r="AW65" s="56"/>
      <c r="AX65" s="56">
        <v>10</v>
      </c>
      <c r="AY65" s="56"/>
      <c r="AZ65" s="56"/>
      <c r="BA65" s="117">
        <f>220001+MAX(0,váltás_kezdet-13)*60000</f>
        <v>220001</v>
      </c>
      <c r="BB65" s="17">
        <f t="shared" ref="BB65:BB68" si="140">MAX(SUMIFS(INDEX(dobások,,2),INDEX(dobások,,1),BX65)+SUMIFS(INDEX(fajok,,3),INDEX(fajok,,1),választott_faj),IF(AND(többes_kaszt=iker_kaszt,váltás_kezdet=1,választott_kaszt_1=$L65),SUMIFS(INDEX(kasztok,,43),INDEX(kasztok,,1),választott_kaszt_2),0))</f>
        <v>13</v>
      </c>
      <c r="BC65" s="17">
        <f t="shared" ref="BC65:BC68" si="141">MAX(SUMIFS(INDEX(dobások,,2),INDEX(dobások,,1),BY65)+SUMIFS(INDEX(fajok,,4),INDEX(fajok,,1),választott_faj),IF(AND(többes_kaszt=iker_kaszt,váltás_kezdet=1,választott_kaszt_1=$L65),SUMIFS(INDEX(kasztok,,44),INDEX(kasztok,,1),választott_kaszt_2),0))</f>
        <v>16</v>
      </c>
      <c r="BD65" s="17">
        <f t="shared" ref="BD65:BD68" si="142">MAX(SUMIFS(INDEX(dobások,,2),INDEX(dobások,,1),BZ65)+SUMIFS(INDEX(fajok,,5),INDEX(fajok,,1),választott_faj),IF(AND(többes_kaszt=iker_kaszt,váltás_kezdet=1,választott_kaszt_1=$L65),SUMIFS(INDEX(kasztok,,45),INDEX(kasztok,,1),választott_kaszt_2),0))</f>
        <v>14</v>
      </c>
      <c r="BE65" s="17">
        <f t="shared" ref="BE65:BE68" si="143">MAX(SUMIFS(INDEX(dobások,,2),INDEX(dobások,,1),CA65)+SUMIFS(INDEX(fajok,,6),INDEX(fajok,,1),választott_faj),IF(AND(többes_kaszt=iker_kaszt,váltás_kezdet=1,választott_kaszt_1=$L65),SUMIFS(INDEX(kasztok,,46),INDEX(kasztok,,1),választott_kaszt_2),0))</f>
        <v>16</v>
      </c>
      <c r="BF65" s="116">
        <f t="shared" ref="BF65:BF68" si="144">MAX(SUMIFS(INDEX(dobások,,2),INDEX(dobások,,1),CB65)+SUMIFS(INDEX(fajok,,7),INDEX(fajok,,1),választott_faj),IF(AND(többes_kaszt=iker_kaszt,váltás_kezdet=1,választott_kaszt_1=$L65),SUMIFS(INDEX(kasztok,,47),INDEX(kasztok,,1),választott_kaszt_2),0))</f>
        <v>16</v>
      </c>
      <c r="BG65" s="17">
        <f t="shared" ref="BG65:BG68" si="145">MAX(SUMIFS(INDEX(dobások,,2),INDEX(dobások,,1),CC65)+SUMIFS(INDEX(fajok,,8),INDEX(fajok,,1),választott_faj),IF(AND(többes_kaszt=iker_kaszt,váltás_kezdet=1,választott_kaszt_1=$L65),SUMIFS(INDEX(kasztok,,48),INDEX(kasztok,,1),választott_kaszt_2),0))</f>
        <v>10</v>
      </c>
      <c r="BH65" s="17">
        <f t="shared" ref="BH65:BH68" si="146">MAX(SUMIFS(INDEX(dobások,,2),INDEX(dobások,,1),CD65)+SUMIFS(INDEX(fajok,,9),INDEX(fajok,,1),választott_faj),IF(AND(többes_kaszt=iker_kaszt,váltás_kezdet=1,választott_kaszt_1=$L65),SUMIFS(INDEX(kasztok,,49),INDEX(kasztok,,1),választott_kaszt_2),0))</f>
        <v>11</v>
      </c>
      <c r="BI65" s="17">
        <f t="shared" ref="BI65:BI68" si="147">MAX(SUMIFS(INDEX(dobások,,2),INDEX(dobások,,1),CE65),IF(AND(többes_kaszt=iker_kaszt,váltás_kezdet=1,választott_kaszt_1=$L65),SUMIFS(INDEX(kasztok,,50),INDEX(kasztok,,1),választott_kaszt_2),0))</f>
        <v>14</v>
      </c>
      <c r="BJ65" s="17">
        <f t="shared" ref="BJ65:BJ68" si="148">MAX(SUMIFS(INDEX(dobások,,2),INDEX(dobások,,1),CF65)+SUMIFS(INDEX(fajok,,10),INDEX(fajok,,1),választott_faj),IF(AND(többes_kaszt=iker_kaszt,váltás_kezdet=1,választott_kaszt_1=$L65),SUMIFS(INDEX(kasztok,,51),INDEX(kasztok,,1),választott_kaszt_2),0))</f>
        <v>13</v>
      </c>
      <c r="BK65" s="17">
        <f t="shared" ref="BK65:BK68" si="149">MAX(SUMIFS(INDEX(dobások,,2),INDEX(dobások,,1),CG65),IF(AND(többes_kaszt=iker_kaszt,váltás_kezdet=1,választott_kaszt_1=$L65),SUMIFS(INDEX(kasztok,,52),INDEX(kasztok,,1),választott_kaszt_2),0))</f>
        <v>16</v>
      </c>
      <c r="BL65" s="17">
        <f t="shared" si="98"/>
        <v>0</v>
      </c>
      <c r="BM65" s="13">
        <f t="shared" ref="BM65:BM68" si="150">MAX(0,erő-(SUMIFS(INDEX(dobások,,4),INDEX(dobások,,1),BX65)+SUMIFS(INDEX(fajok,,3),INDEX(fajok,,1),választott_faj)))+MAX(0,gyorsaság-(SUMIFS(INDEX(dobások,,4),INDEX(dobások,,1),BY65)+SUMIFS(INDEX(fajok,,4),INDEX(fajok,,1),választott_faj)))+MAX(0,ügyesség-(SUMIFS(INDEX(dobások,,4),INDEX(dobások,,1),BZ65)+SUMIFS(INDEX(fajok,,5),INDEX(fajok,,1),választott_faj)))+MAX(0,állóképesség-(SUMIFS(INDEX(dobások,,4),INDEX(dobások,,1),CA65)+SUMIFS(INDEX(fajok,,6),INDEX(fajok,,1),választott_faj)))+MAX(0,egészség-(SUMIFS(INDEX(dobások,,4),INDEX(dobások,,1),CB65)+SUMIFS(INDEX(fajok,,7),INDEX(fajok,,1),választott_faj)))+MAX(0,szépség-(SUMIFS(INDEX(dobások,,4),INDEX(dobások,,1),CC65)+SUMIFS(INDEX(fajok,,8),INDEX(fajok,,1),választott_faj)))+MAX(0,intelligencia-(SUMIFS(INDEX(dobások,,4),INDEX(dobások,,1),CD65)+SUMIFS(INDEX(fajok,,9),INDEX(fajok,,1),választott_faj)))+MAX(0,akaraterő-SUMIFS(INDEX(dobások,,4),INDEX(dobások,,1),CE65))+MAX(0,asztrál-(SUMIFS(INDEX(dobások,,4),INDEX(dobások,,1),CF65)+SUMIFS(INDEX(fajok,,10),INDEX(fajok,,1),választott_faj)))+MAX(0,érzékelés-SUMIFS(INDEX(dobások,,4),INDEX(dobások,,1),CG65))</f>
        <v>0</v>
      </c>
      <c r="BN65" s="12"/>
      <c r="BO65" s="12" t="s">
        <v>262</v>
      </c>
      <c r="BP65" s="12"/>
      <c r="BQ65" s="12" t="s">
        <v>262</v>
      </c>
      <c r="BR65" s="12"/>
      <c r="BS65" s="12"/>
      <c r="BT65" s="12"/>
      <c r="BU65" s="12"/>
      <c r="BV65" s="12"/>
      <c r="BW65" s="51"/>
      <c r="BX65" s="12" t="s">
        <v>131</v>
      </c>
      <c r="BY65" s="12" t="s">
        <v>134</v>
      </c>
      <c r="BZ65" s="12" t="s">
        <v>132</v>
      </c>
      <c r="CA65" s="12" t="s">
        <v>134</v>
      </c>
      <c r="CB65" s="12" t="s">
        <v>135</v>
      </c>
      <c r="CC65" s="12" t="s">
        <v>128</v>
      </c>
      <c r="CD65" s="12" t="s">
        <v>129</v>
      </c>
      <c r="CE65" s="12" t="s">
        <v>132</v>
      </c>
      <c r="CF65" s="12" t="s">
        <v>131</v>
      </c>
      <c r="CG65" s="12" t="s">
        <v>134</v>
      </c>
      <c r="CH65" s="10">
        <v>3</v>
      </c>
      <c r="CI65" s="10">
        <v>6</v>
      </c>
      <c r="CJ65" s="148"/>
      <c r="CK65" s="63"/>
    </row>
    <row r="66" spans="1:89" ht="15.75">
      <c r="A66" s="205" t="s">
        <v>795</v>
      </c>
      <c r="B66" s="206"/>
      <c r="C66" s="206"/>
      <c r="D66" s="206"/>
      <c r="E66" s="206"/>
      <c r="F66" s="206"/>
      <c r="G66" s="206"/>
      <c r="H66" s="206"/>
      <c r="I66" s="275" t="s">
        <v>1190</v>
      </c>
      <c r="J66" s="275" t="s">
        <v>244</v>
      </c>
      <c r="K66" s="10"/>
      <c r="L66" s="264" t="s">
        <v>1171</v>
      </c>
      <c r="M66" s="33">
        <v>0</v>
      </c>
      <c r="N66" s="33">
        <v>191</v>
      </c>
      <c r="O66" s="33">
        <v>401</v>
      </c>
      <c r="P66" s="33">
        <v>901</v>
      </c>
      <c r="Q66" s="33">
        <v>1801</v>
      </c>
      <c r="R66" s="33">
        <v>3501</v>
      </c>
      <c r="S66" s="33">
        <v>7501</v>
      </c>
      <c r="T66" s="33">
        <v>15001</v>
      </c>
      <c r="U66" s="33">
        <v>30001</v>
      </c>
      <c r="V66" s="33">
        <v>60001</v>
      </c>
      <c r="W66" s="33">
        <v>110001</v>
      </c>
      <c r="X66" s="33">
        <v>160001</v>
      </c>
      <c r="Y66" s="34">
        <f>220001+MAX(0,SUMIFS(INDEX(választott_kasztok,,10),INDEX(választott_kasztok,,1),$L66)-13)*60000</f>
        <v>220001</v>
      </c>
      <c r="Z66" s="37">
        <f>10+ROUNDDOWN(SUMIFS(INDEX(választott_kasztok,,10),INDEX(választott_kasztok,,1),$L66)/2,0)</f>
        <v>10</v>
      </c>
      <c r="AA66" s="10">
        <v>20</v>
      </c>
      <c r="AB66" s="10">
        <v>75</v>
      </c>
      <c r="AC66" s="10">
        <v>0</v>
      </c>
      <c r="AD66" s="10">
        <f t="shared" si="127"/>
        <v>11</v>
      </c>
      <c r="AE66" s="10">
        <f t="shared" si="128"/>
        <v>4</v>
      </c>
      <c r="AF66" s="10">
        <f t="shared" si="128"/>
        <v>4</v>
      </c>
      <c r="AG66" s="20">
        <f>IF(AND(többes_kaszt=iker_kaszt,váltás_kezdet=0,váltás_kezdet&lt;&gt;""),0,3)</f>
        <v>3</v>
      </c>
      <c r="AH66" s="10">
        <f>MAX(0,IF(választott_kaszt_1=$L66,IF(váltás_kezdet="",VLOOKUP($L66,választott_kasztok,10,FALSE)*5,MIN(VLOOKUP($L66,választott_kasztok,10,FALSE),váltás_kezdet)*5+IF(többes_kaszt=iker_kaszt,MAX(0,VLOOKUP($L66,választott_kasztok,10,FALSE)-váltás_kezdet),0)+IF(többes_kaszt=váltott_kaszt,MAX(0,váltás_kezdet-VLOOKUP($L66,választott_kasztok,10,FALSE))*5)),0)+IF(választott_kaszt_2=$L66,VLOOKUP($L66,választott_kasztok,10,FALSE)*IF(többes_kaszt=iker_kaszt,1,5),0))</f>
        <v>0</v>
      </c>
      <c r="AI66" s="10">
        <f>MAX(20,IF(AND(többes_kaszt=váltott_kaszt,választott_kaszt_1=$L66),váltás_kezdet*20,SUMIFS(INDEX(választott_kasztok,,10),INDEX(választott_kasztok,,1),$L66)*20))</f>
        <v>20</v>
      </c>
      <c r="AJ66" s="10">
        <v>6</v>
      </c>
      <c r="AK66" s="10">
        <v>7</v>
      </c>
      <c r="AL66" s="10">
        <f>MAX(1,SUMIFS(INDEX(választott_kasztok,,10),INDEX(választott_kasztok,,1),$L66))*(k6dobás+5)</f>
        <v>11</v>
      </c>
      <c r="AM66" s="10"/>
      <c r="AN66" s="20" t="s">
        <v>1183</v>
      </c>
      <c r="AO66" s="209" t="str">
        <f>TEXT(IF(tanultMfkaszt=0,IF(SUMIFS(INDEX(választott_kasztok,,10),INDEX(választott_kasztok,,1),$L66)&lt;5,0,5),IF(INDEX(választott_kasztok,tanultMfkaszt,1)=$L66,IF(OR(tanultMfTSZ=0,tanultMfTSZ&gt;MIN(5,SUMIFS(INDEX(választott_kasztok,,10),INDEX(választott_kasztok,,1),$L66))),IF(SUMIFS(INDEX(választott_kasztok,,10),INDEX(választott_kasztok,,1),$L66)&lt;5,0,5),MIN(5,tanultMfTSZ)),0)),"00")&amp;"0101"</f>
        <v>000101</v>
      </c>
      <c r="AP66" s="33">
        <v>0</v>
      </c>
      <c r="AQ66" s="56">
        <v>30</v>
      </c>
      <c r="AR66" s="56">
        <v>15</v>
      </c>
      <c r="AS66" s="56">
        <v>15</v>
      </c>
      <c r="AT66" s="56">
        <v>20</v>
      </c>
      <c r="AU66" s="56">
        <v>25</v>
      </c>
      <c r="AV66" s="56"/>
      <c r="AW66" s="56"/>
      <c r="AX66" s="56">
        <v>10</v>
      </c>
      <c r="AY66" s="56"/>
      <c r="AZ66" s="56"/>
      <c r="BA66" s="117">
        <f>220001+MAX(0,váltás_kezdet-13)*60000</f>
        <v>220001</v>
      </c>
      <c r="BB66" s="17">
        <f t="shared" si="140"/>
        <v>13</v>
      </c>
      <c r="BC66" s="17">
        <f t="shared" si="141"/>
        <v>16</v>
      </c>
      <c r="BD66" s="17">
        <f t="shared" si="142"/>
        <v>14</v>
      </c>
      <c r="BE66" s="17">
        <f t="shared" si="143"/>
        <v>16</v>
      </c>
      <c r="BF66" s="116">
        <f t="shared" si="144"/>
        <v>16</v>
      </c>
      <c r="BG66" s="17">
        <f t="shared" si="145"/>
        <v>10</v>
      </c>
      <c r="BH66" s="17">
        <f t="shared" si="146"/>
        <v>11</v>
      </c>
      <c r="BI66" s="17">
        <f t="shared" si="147"/>
        <v>14</v>
      </c>
      <c r="BJ66" s="17">
        <f t="shared" si="148"/>
        <v>13</v>
      </c>
      <c r="BK66" s="17">
        <f t="shared" si="149"/>
        <v>16</v>
      </c>
      <c r="BL66" s="17">
        <f t="shared" si="98"/>
        <v>0</v>
      </c>
      <c r="BM66" s="13">
        <f t="shared" si="150"/>
        <v>0</v>
      </c>
      <c r="BN66" s="12"/>
      <c r="BO66" s="12" t="s">
        <v>262</v>
      </c>
      <c r="BP66" s="12"/>
      <c r="BQ66" s="12" t="s">
        <v>262</v>
      </c>
      <c r="BR66" s="12"/>
      <c r="BS66" s="12"/>
      <c r="BT66" s="12"/>
      <c r="BU66" s="12"/>
      <c r="BV66" s="12"/>
      <c r="BW66" s="51"/>
      <c r="BX66" s="12" t="s">
        <v>131</v>
      </c>
      <c r="BY66" s="12" t="s">
        <v>134</v>
      </c>
      <c r="BZ66" s="12" t="s">
        <v>132</v>
      </c>
      <c r="CA66" s="12" t="s">
        <v>134</v>
      </c>
      <c r="CB66" s="12" t="s">
        <v>135</v>
      </c>
      <c r="CC66" s="12" t="s">
        <v>128</v>
      </c>
      <c r="CD66" s="12" t="s">
        <v>129</v>
      </c>
      <c r="CE66" s="12" t="s">
        <v>132</v>
      </c>
      <c r="CF66" s="12" t="s">
        <v>131</v>
      </c>
      <c r="CG66" s="12" t="s">
        <v>134</v>
      </c>
      <c r="CH66" s="10">
        <v>3</v>
      </c>
      <c r="CI66" s="10">
        <v>6</v>
      </c>
      <c r="CJ66" s="148"/>
      <c r="CK66" s="63"/>
    </row>
    <row r="67" spans="1:89" ht="15.75">
      <c r="A67" s="638" t="s">
        <v>784</v>
      </c>
      <c r="B67" s="639"/>
      <c r="C67" s="204" t="s">
        <v>794</v>
      </c>
      <c r="D67" s="204" t="s">
        <v>1186</v>
      </c>
      <c r="E67" s="204" t="s">
        <v>1187</v>
      </c>
      <c r="F67" s="204" t="s">
        <v>1188</v>
      </c>
      <c r="G67" s="204" t="s">
        <v>1196</v>
      </c>
      <c r="H67" s="204" t="s">
        <v>1189</v>
      </c>
      <c r="I67" s="142" t="s">
        <v>783</v>
      </c>
      <c r="J67" s="142" t="s">
        <v>1075</v>
      </c>
      <c r="K67" s="10"/>
      <c r="L67" s="264" t="s">
        <v>1172</v>
      </c>
      <c r="M67" s="33">
        <v>0</v>
      </c>
      <c r="N67" s="33">
        <v>191</v>
      </c>
      <c r="O67" s="33">
        <v>401</v>
      </c>
      <c r="P67" s="33">
        <v>901</v>
      </c>
      <c r="Q67" s="33">
        <v>1801</v>
      </c>
      <c r="R67" s="33">
        <v>3501</v>
      </c>
      <c r="S67" s="33">
        <v>7501</v>
      </c>
      <c r="T67" s="33">
        <v>15001</v>
      </c>
      <c r="U67" s="33">
        <v>30001</v>
      </c>
      <c r="V67" s="33">
        <v>60001</v>
      </c>
      <c r="W67" s="33">
        <v>110001</v>
      </c>
      <c r="X67" s="33">
        <v>160001</v>
      </c>
      <c r="Y67" s="34">
        <f>220001+MAX(0,SUMIFS(INDEX(választott_kasztok,,10),INDEX(választott_kasztok,,1),$L67)-13)*60000</f>
        <v>220001</v>
      </c>
      <c r="Z67" s="37">
        <f>10+ROUNDDOWN(SUMIFS(INDEX(választott_kasztok,,10),INDEX(választott_kasztok,,1),$L67)/2,0)</f>
        <v>10</v>
      </c>
      <c r="AA67" s="10">
        <v>20</v>
      </c>
      <c r="AB67" s="10">
        <v>75</v>
      </c>
      <c r="AC67" s="10">
        <v>0</v>
      </c>
      <c r="AD67" s="10">
        <f t="shared" si="127"/>
        <v>11</v>
      </c>
      <c r="AE67" s="10">
        <f t="shared" si="128"/>
        <v>4</v>
      </c>
      <c r="AF67" s="10">
        <f t="shared" si="128"/>
        <v>4</v>
      </c>
      <c r="AG67" s="20">
        <f>IF(AND(többes_kaszt=iker_kaszt,váltás_kezdet=0,váltás_kezdet&lt;&gt;""),0,3)</f>
        <v>3</v>
      </c>
      <c r="AH67" s="10">
        <f>MAX(0,IF(választott_kaszt_1=$L67,IF(váltás_kezdet="",VLOOKUP($L67,választott_kasztok,10,FALSE)*5,MIN(VLOOKUP($L67,választott_kasztok,10,FALSE),váltás_kezdet)*5+IF(többes_kaszt=iker_kaszt,MAX(0,VLOOKUP($L67,választott_kasztok,10,FALSE)-váltás_kezdet),0)+IF(többes_kaszt=váltott_kaszt,MAX(0,váltás_kezdet-VLOOKUP($L67,választott_kasztok,10,FALSE))*5)),0)+IF(választott_kaszt_2=$L67,VLOOKUP($L67,választott_kasztok,10,FALSE)*IF(többes_kaszt=iker_kaszt,1,5),0))</f>
        <v>0</v>
      </c>
      <c r="AI67" s="10">
        <f>MAX(20,IF(AND(többes_kaszt=váltott_kaszt,választott_kaszt_1=$L67),váltás_kezdet*20,SUMIFS(INDEX(választott_kasztok,,10),INDEX(választott_kasztok,,1),$L67)*20))</f>
        <v>20</v>
      </c>
      <c r="AJ67" s="10">
        <v>6</v>
      </c>
      <c r="AK67" s="10">
        <v>7</v>
      </c>
      <c r="AL67" s="10">
        <f>MAX(1,SUMIFS(INDEX(választott_kasztok,,10),INDEX(választott_kasztok,,1),$L67))*(k6dobás+5)</f>
        <v>11</v>
      </c>
      <c r="AM67" s="10"/>
      <c r="AN67" s="20" t="s">
        <v>1183</v>
      </c>
      <c r="AO67" s="209" t="str">
        <f>TEXT(IF(tanultMfkaszt=0,IF(SUMIFS(INDEX(választott_kasztok,,10),INDEX(választott_kasztok,,1),$L67)&lt;5,0,5),IF(INDEX(választott_kasztok,tanultMfkaszt,1)=$L67,IF(OR(tanultMfTSZ=0,tanultMfTSZ&gt;MIN(5,SUMIFS(INDEX(választott_kasztok,,10),INDEX(választott_kasztok,,1),$L67))),IF(SUMIFS(INDEX(választott_kasztok,,10),INDEX(választott_kasztok,,1),$L67)&lt;5,0,5),MIN(5,tanultMfTSZ)),0)),"00")&amp;"0101"</f>
        <v>000101</v>
      </c>
      <c r="AP67" s="33">
        <v>0</v>
      </c>
      <c r="AQ67" s="56">
        <v>30</v>
      </c>
      <c r="AR67" s="56">
        <v>15</v>
      </c>
      <c r="AS67" s="56">
        <v>15</v>
      </c>
      <c r="AT67" s="56">
        <v>20</v>
      </c>
      <c r="AU67" s="56">
        <v>25</v>
      </c>
      <c r="AV67" s="56"/>
      <c r="AW67" s="56"/>
      <c r="AX67" s="56">
        <v>10</v>
      </c>
      <c r="AY67" s="56"/>
      <c r="AZ67" s="56"/>
      <c r="BA67" s="117">
        <f>220001+MAX(0,váltás_kezdet-13)*60000</f>
        <v>220001</v>
      </c>
      <c r="BB67" s="17">
        <f t="shared" si="140"/>
        <v>13</v>
      </c>
      <c r="BC67" s="17">
        <f t="shared" si="141"/>
        <v>16</v>
      </c>
      <c r="BD67" s="17">
        <f t="shared" si="142"/>
        <v>14</v>
      </c>
      <c r="BE67" s="17">
        <f t="shared" si="143"/>
        <v>16</v>
      </c>
      <c r="BF67" s="116">
        <f t="shared" si="144"/>
        <v>16</v>
      </c>
      <c r="BG67" s="17">
        <f t="shared" si="145"/>
        <v>10</v>
      </c>
      <c r="BH67" s="17">
        <f t="shared" si="146"/>
        <v>11</v>
      </c>
      <c r="BI67" s="17">
        <f t="shared" si="147"/>
        <v>14</v>
      </c>
      <c r="BJ67" s="17">
        <f t="shared" si="148"/>
        <v>13</v>
      </c>
      <c r="BK67" s="17">
        <f t="shared" si="149"/>
        <v>16</v>
      </c>
      <c r="BL67" s="17">
        <f t="shared" si="98"/>
        <v>0</v>
      </c>
      <c r="BM67" s="13">
        <f t="shared" si="150"/>
        <v>0</v>
      </c>
      <c r="BN67" s="12"/>
      <c r="BO67" s="12" t="s">
        <v>262</v>
      </c>
      <c r="BP67" s="12"/>
      <c r="BQ67" s="12" t="s">
        <v>262</v>
      </c>
      <c r="BR67" s="12"/>
      <c r="BS67" s="12"/>
      <c r="BT67" s="12"/>
      <c r="BU67" s="12"/>
      <c r="BV67" s="12"/>
      <c r="BW67" s="51"/>
      <c r="BX67" s="12" t="s">
        <v>131</v>
      </c>
      <c r="BY67" s="12" t="s">
        <v>134</v>
      </c>
      <c r="BZ67" s="12" t="s">
        <v>132</v>
      </c>
      <c r="CA67" s="12" t="s">
        <v>134</v>
      </c>
      <c r="CB67" s="12" t="s">
        <v>135</v>
      </c>
      <c r="CC67" s="12" t="s">
        <v>128</v>
      </c>
      <c r="CD67" s="12" t="s">
        <v>129</v>
      </c>
      <c r="CE67" s="12" t="s">
        <v>132</v>
      </c>
      <c r="CF67" s="12" t="s">
        <v>131</v>
      </c>
      <c r="CG67" s="12" t="s">
        <v>134</v>
      </c>
      <c r="CH67" s="10">
        <v>3</v>
      </c>
      <c r="CI67" s="10">
        <v>6</v>
      </c>
      <c r="CJ67" s="148"/>
      <c r="CK67" s="63"/>
    </row>
    <row r="68" spans="1:89" ht="15.75">
      <c r="A68" s="640" t="str">
        <f>IF(választott_kaszt_1="","",választott_kaszt_1)</f>
        <v/>
      </c>
      <c r="B68" s="641"/>
      <c r="C68" s="143" t="str">
        <f>IF(OR(választott_faj=amund_köz,választott_faj=amund_pap),egyedi,IF(pszi_kaszt_1="","",IF(választott_faj=dzsenn,IF(VLOOKUP(VLOOKUP(pszi_kaszt_1,kasztok,29,FALSE),pszitipusok,2,FALSE)&gt;VLOOKUP(pyarroni,pszitipusok,2,FALSE),VLOOKUP(pszi_kaszt_1,kasztok,29,FALSE),pyarroni),VLOOKUP(pszi_kaszt_1,kasztok,29,FALSE))))</f>
        <v/>
      </c>
      <c r="D68" s="143">
        <f>IF(pszi_kaszt_1="",0,IF(SUMIFS(INDEX(pszitipusok,,2),INDEX(pszitipusok,,1),pszi_iskola_1)&lt;SUMIFS(INDEX(pszitipusok,,2),INDEX(pszitipusok,,1),pyarroni),0,IF(VLOOKUP(pszi_kaszt_1,kasztok,30,FALSE)="",1,IF(választott_faj=dzsenn,1,VALUE(LEFT(VLOOKUP(pszi_kaszt_1,kasztok,30,FALSE),2))))))</f>
        <v>0</v>
      </c>
      <c r="E68" s="143">
        <f>IF(pszi_kaszt_1="",0,IF(SUMIFS(INDEX(pszitipusok,,2),INDEX(pszitipusok,,1),pszi_iskola_1)&lt;SUMIFS(INDEX(pszitipusok,,2),INDEX(pszitipusok,,1),pyarroni),0,IF(VLOOKUP(pszi_kaszt_1,kasztok,30,FALSE)="",1,IF(választott_faj=dzsenn,1,VALUE(MID(VLOOKUP(pszi_kaszt_1,kasztok,30,FALSE),3,2))))))</f>
        <v>0</v>
      </c>
      <c r="F68" s="143">
        <f>IF(pszi_iskola_1="",0,IF(AND($D$68=0,$E$68=0),0,kaszt_szint_1*(SUMIFS(INDEX(pszitipusok,,2),INDEX(pszitipusok,,1),pszi_iskola_1)-1)+1))</f>
        <v>0</v>
      </c>
      <c r="G68" s="143">
        <f>IF(SUM($D$68:$F$68)&gt;0,IF(választott_faj=dzsenn,kaszt_szint_1,0)+MAX(0,intelligencia-10),0)</f>
        <v>0</v>
      </c>
      <c r="H68" s="143">
        <f>-IF(AND(D$68=0,E$68&gt;0),kaszt_szint_1,0)-MAX(0,$D$68-1)-MAX(0,($E$68-1)*(VLOOKUP(pyarroni,pszitipusok,2,FALSE)-2))</f>
        <v>0</v>
      </c>
      <c r="I68" s="207">
        <f>SUM($F68:$H68)</f>
        <v>0</v>
      </c>
      <c r="J68" s="207" t="str">
        <f>IF(pszi_iskola_1=pyarroni,IF(AND($D68&gt;0,kaszt_szint_1&gt;=$D$68)," Mf"," Af"),"")</f>
        <v/>
      </c>
      <c r="K68" s="10"/>
      <c r="L68" s="264" t="s">
        <v>1173</v>
      </c>
      <c r="M68" s="33">
        <v>0</v>
      </c>
      <c r="N68" s="33">
        <v>191</v>
      </c>
      <c r="O68" s="33">
        <v>401</v>
      </c>
      <c r="P68" s="33">
        <v>901</v>
      </c>
      <c r="Q68" s="33">
        <v>1801</v>
      </c>
      <c r="R68" s="33">
        <v>3501</v>
      </c>
      <c r="S68" s="33">
        <v>7501</v>
      </c>
      <c r="T68" s="33">
        <v>15001</v>
      </c>
      <c r="U68" s="33">
        <v>30001</v>
      </c>
      <c r="V68" s="33">
        <v>60001</v>
      </c>
      <c r="W68" s="33">
        <v>110001</v>
      </c>
      <c r="X68" s="33">
        <v>160001</v>
      </c>
      <c r="Y68" s="34">
        <f>220001+MAX(0,SUMIFS(INDEX(választott_kasztok,,10),INDEX(választott_kasztok,,1),$L68)-13)*60000</f>
        <v>220001</v>
      </c>
      <c r="Z68" s="37">
        <f>10+ROUNDDOWN(SUMIFS(INDEX(választott_kasztok,,10),INDEX(választott_kasztok,,1),$L68)/2,0)</f>
        <v>10</v>
      </c>
      <c r="AA68" s="10">
        <v>20</v>
      </c>
      <c r="AB68" s="10">
        <v>75</v>
      </c>
      <c r="AC68" s="10">
        <v>0</v>
      </c>
      <c r="AD68" s="10">
        <f t="shared" si="127"/>
        <v>11</v>
      </c>
      <c r="AE68" s="10">
        <f t="shared" si="128"/>
        <v>4</v>
      </c>
      <c r="AF68" s="10">
        <f t="shared" si="128"/>
        <v>4</v>
      </c>
      <c r="AG68" s="20">
        <f>IF(AND(többes_kaszt=iker_kaszt,váltás_kezdet=0,váltás_kezdet&lt;&gt;""),0,3)</f>
        <v>3</v>
      </c>
      <c r="AH68" s="10">
        <f>MAX(0,IF(választott_kaszt_1=$L68,IF(váltás_kezdet="",VLOOKUP($L68,választott_kasztok,10,FALSE)*5,MIN(VLOOKUP($L68,választott_kasztok,10,FALSE),váltás_kezdet)*5+IF(többes_kaszt=iker_kaszt,MAX(0,VLOOKUP($L68,választott_kasztok,10,FALSE)-váltás_kezdet),0)+IF(többes_kaszt=váltott_kaszt,MAX(0,váltás_kezdet-VLOOKUP($L68,választott_kasztok,10,FALSE))*5)),0)+IF(választott_kaszt_2=$L68,VLOOKUP($L68,választott_kasztok,10,FALSE)*IF(többes_kaszt=iker_kaszt,1,5),0))</f>
        <v>0</v>
      </c>
      <c r="AI68" s="10">
        <f>MAX(20,IF(AND(többes_kaszt=váltott_kaszt,választott_kaszt_1=$L68),váltás_kezdet*20,SUMIFS(INDEX(választott_kasztok,,10),INDEX(választott_kasztok,,1),$L68)*20))</f>
        <v>20</v>
      </c>
      <c r="AJ68" s="10">
        <v>6</v>
      </c>
      <c r="AK68" s="10">
        <v>7</v>
      </c>
      <c r="AL68" s="10">
        <f>MAX(1,SUMIFS(INDEX(választott_kasztok,,10),INDEX(választott_kasztok,,1),$L68))*(k6dobás+5)</f>
        <v>11</v>
      </c>
      <c r="AM68" s="10"/>
      <c r="AN68" s="20" t="s">
        <v>1183</v>
      </c>
      <c r="AO68" s="209" t="str">
        <f>TEXT(IF(tanultMfkaszt=0,IF(SUMIFS(INDEX(választott_kasztok,,10),INDEX(választott_kasztok,,1),$L68)&lt;5,0,5),IF(INDEX(választott_kasztok,tanultMfkaszt,1)=$L68,IF(OR(tanultMfTSZ=0,tanultMfTSZ&gt;MIN(5,SUMIFS(INDEX(választott_kasztok,,10),INDEX(választott_kasztok,,1),$L68))),IF(SUMIFS(INDEX(választott_kasztok,,10),INDEX(választott_kasztok,,1),$L68)&lt;5,0,5),MIN(5,tanultMfTSZ)),0)),"00")&amp;"0101"</f>
        <v>000101</v>
      </c>
      <c r="AP68" s="33">
        <v>0</v>
      </c>
      <c r="AQ68" s="56">
        <v>30</v>
      </c>
      <c r="AR68" s="56">
        <v>15</v>
      </c>
      <c r="AS68" s="56">
        <v>15</v>
      </c>
      <c r="AT68" s="56">
        <v>20</v>
      </c>
      <c r="AU68" s="56">
        <v>25</v>
      </c>
      <c r="AV68" s="56"/>
      <c r="AW68" s="56"/>
      <c r="AX68" s="56">
        <v>10</v>
      </c>
      <c r="AY68" s="56"/>
      <c r="AZ68" s="56"/>
      <c r="BA68" s="117">
        <f>220001+MAX(0,váltás_kezdet-13)*60000</f>
        <v>220001</v>
      </c>
      <c r="BB68" s="17">
        <f t="shared" si="140"/>
        <v>13</v>
      </c>
      <c r="BC68" s="17">
        <f t="shared" si="141"/>
        <v>16</v>
      </c>
      <c r="BD68" s="17">
        <f t="shared" si="142"/>
        <v>14</v>
      </c>
      <c r="BE68" s="17">
        <f t="shared" si="143"/>
        <v>16</v>
      </c>
      <c r="BF68" s="116">
        <f t="shared" si="144"/>
        <v>16</v>
      </c>
      <c r="BG68" s="17">
        <f t="shared" si="145"/>
        <v>10</v>
      </c>
      <c r="BH68" s="17">
        <f t="shared" si="146"/>
        <v>11</v>
      </c>
      <c r="BI68" s="17">
        <f t="shared" si="147"/>
        <v>14</v>
      </c>
      <c r="BJ68" s="17">
        <f t="shared" si="148"/>
        <v>13</v>
      </c>
      <c r="BK68" s="17">
        <f t="shared" si="149"/>
        <v>16</v>
      </c>
      <c r="BL68" s="17">
        <f t="shared" si="98"/>
        <v>0</v>
      </c>
      <c r="BM68" s="13">
        <f t="shared" si="150"/>
        <v>0</v>
      </c>
      <c r="BN68" s="12"/>
      <c r="BO68" s="12" t="s">
        <v>262</v>
      </c>
      <c r="BP68" s="12"/>
      <c r="BQ68" s="12" t="s">
        <v>262</v>
      </c>
      <c r="BR68" s="12"/>
      <c r="BS68" s="12"/>
      <c r="BT68" s="12"/>
      <c r="BU68" s="12"/>
      <c r="BV68" s="12"/>
      <c r="BW68" s="51"/>
      <c r="BX68" s="12" t="s">
        <v>131</v>
      </c>
      <c r="BY68" s="12" t="s">
        <v>134</v>
      </c>
      <c r="BZ68" s="12" t="s">
        <v>132</v>
      </c>
      <c r="CA68" s="12" t="s">
        <v>134</v>
      </c>
      <c r="CB68" s="12" t="s">
        <v>135</v>
      </c>
      <c r="CC68" s="12" t="s">
        <v>128</v>
      </c>
      <c r="CD68" s="12" t="s">
        <v>129</v>
      </c>
      <c r="CE68" s="12" t="s">
        <v>132</v>
      </c>
      <c r="CF68" s="12" t="s">
        <v>131</v>
      </c>
      <c r="CG68" s="12" t="s">
        <v>134</v>
      </c>
      <c r="CH68" s="10">
        <v>3</v>
      </c>
      <c r="CI68" s="10">
        <v>6</v>
      </c>
      <c r="CJ68" s="148"/>
      <c r="CK68" s="63"/>
    </row>
    <row r="69" spans="1:89" ht="16.5" thickBot="1">
      <c r="A69" s="647" t="str">
        <f>IF(választott_kaszt_2="","",választott_kaszt_2)</f>
        <v/>
      </c>
      <c r="B69" s="648"/>
      <c r="C69" s="210"/>
      <c r="D69" s="210"/>
      <c r="E69" s="210"/>
      <c r="F69" s="210"/>
      <c r="G69" s="210"/>
      <c r="H69" s="210"/>
      <c r="I69" s="211">
        <f>SUM($F69:$H69)</f>
        <v>0</v>
      </c>
      <c r="J69" s="211" t="str">
        <f>IF(pszi_iskola_2=pyarroni,IF($D69&gt;0," Mf"," Af"),"")</f>
        <v/>
      </c>
      <c r="K69" s="10"/>
      <c r="L69" s="261" t="s">
        <v>105</v>
      </c>
      <c r="M69" s="33">
        <v>0</v>
      </c>
      <c r="N69" s="33">
        <v>161</v>
      </c>
      <c r="O69" s="33">
        <v>321</v>
      </c>
      <c r="P69" s="33">
        <v>641</v>
      </c>
      <c r="Q69" s="33">
        <v>1441</v>
      </c>
      <c r="R69" s="34">
        <v>2801</v>
      </c>
      <c r="S69" s="33">
        <v>5601</v>
      </c>
      <c r="T69" s="33">
        <v>10001</v>
      </c>
      <c r="U69" s="33">
        <v>20001</v>
      </c>
      <c r="V69" s="33">
        <v>40001</v>
      </c>
      <c r="W69" s="33">
        <v>60001</v>
      </c>
      <c r="X69" s="33">
        <v>80001</v>
      </c>
      <c r="Y69" s="34">
        <f>112001+MAX(0,SUMIFS(INDEX(választott_kasztok,,10),INDEX(választott_kasztok,,1),$L69)-13)*31200</f>
        <v>112001</v>
      </c>
      <c r="Z69" s="10">
        <v>9</v>
      </c>
      <c r="AA69" s="10">
        <v>20</v>
      </c>
      <c r="AB69" s="10">
        <v>75</v>
      </c>
      <c r="AC69" s="10">
        <v>0</v>
      </c>
      <c r="AD69" s="10">
        <f>MAX(11,SUMIFS(INDEX(választott_kasztok,,10),INDEX(választott_kasztok,,1),$L69)*11)</f>
        <v>11</v>
      </c>
      <c r="AE69" s="10">
        <f>MAX(5,SUMIFS(INDEX(választott_kasztok,,10),INDEX(választott_kasztok,,1),$L69)*5)</f>
        <v>5</v>
      </c>
      <c r="AF69" s="10">
        <f>MAX(3,SUMIFS(INDEX(választott_kasztok,,10),INDEX(választott_kasztok,,1),$L69)*3)</f>
        <v>3</v>
      </c>
      <c r="AG69" s="20">
        <f>IF(AND(többes_kaszt=iker_kaszt,váltás_kezdet=0,váltás_kezdet&lt;&gt;""),0,10)</f>
        <v>10</v>
      </c>
      <c r="AH69" s="10">
        <f>MAX(0,IF(választott_kaszt_1=$L69,IF(váltás_kezdet="",VLOOKUP($L69,választott_kasztok,10,FALSE)*14,MIN(VLOOKUP($L69,választott_kasztok,10,FALSE),váltás_kezdet)*14+IF(többes_kaszt=iker_kaszt,MAX(0,VLOOKUP($L69,választott_kasztok,10,FALSE)-váltás_kezdet),0)+IF(többes_kaszt=váltott_kaszt,MAX(0,váltás_kezdet-VLOOKUP($L69,választott_kasztok,10,FALSE))*14)),0)+IF(választott_kaszt_2=$L69,VLOOKUP($L69,választott_kasztok,10,FALSE)*IF(többes_kaszt=iker_kaszt,1,14),0))</f>
        <v>0</v>
      </c>
      <c r="AI69" s="10">
        <v>0</v>
      </c>
      <c r="AJ69" s="10">
        <v>6</v>
      </c>
      <c r="AK69" s="10">
        <v>8</v>
      </c>
      <c r="AL69" s="10">
        <f>MAX(1,SUMIFS(INDEX(választott_kasztok,,10),INDEX(választott_kasztok,,1),$L69))*(k6dobás+4)</f>
        <v>10</v>
      </c>
      <c r="AM69" s="10"/>
      <c r="AN69" s="20" t="str">
        <f>IF(OR(tanultAfTSZ&gt;0,tanultMfTSZ&gt;0),pyarroni,nincsen)</f>
        <v>nincs</v>
      </c>
      <c r="AO69" s="208" t="str">
        <f>IF(tanultMfkaszt=0,"00",IF(INDEX(választott_kasztok,tanultMfkaszt,1)=$L69,TEXT(tanultMfTSZ,"00"),"00"))&amp;IF(tanultAfkaszt=0,"00",IF(INDEX(választott_kasztok,tanultAfkaszt,1)=$L69,TEXT(tanultAfTSZ,"00"),"00"))&amp;"01"</f>
        <v>000001</v>
      </c>
      <c r="AP69" s="33">
        <v>0</v>
      </c>
      <c r="AQ69" s="56"/>
      <c r="AR69" s="56">
        <v>20</v>
      </c>
      <c r="AS69" s="56">
        <v>10</v>
      </c>
      <c r="AT69" s="56"/>
      <c r="AU69" s="56"/>
      <c r="AV69" s="56"/>
      <c r="AW69" s="56"/>
      <c r="AX69" s="56"/>
      <c r="AY69" s="56"/>
      <c r="AZ69" s="56"/>
      <c r="BA69" s="117">
        <f>112001+MAX(0,váltás_kezdet-13)*31200</f>
        <v>112001</v>
      </c>
      <c r="BB69" s="17">
        <f t="shared" si="86"/>
        <v>16</v>
      </c>
      <c r="BC69" s="17">
        <f t="shared" si="87"/>
        <v>13</v>
      </c>
      <c r="BD69" s="17">
        <f t="shared" si="88"/>
        <v>13</v>
      </c>
      <c r="BE69" s="17">
        <f t="shared" si="89"/>
        <v>14</v>
      </c>
      <c r="BF69" s="116">
        <f t="shared" si="90"/>
        <v>16</v>
      </c>
      <c r="BG69" s="17">
        <f t="shared" si="91"/>
        <v>11</v>
      </c>
      <c r="BH69" s="17">
        <f t="shared" si="92"/>
        <v>11</v>
      </c>
      <c r="BI69" s="17">
        <f t="shared" si="93"/>
        <v>13</v>
      </c>
      <c r="BJ69" s="17">
        <f t="shared" si="94"/>
        <v>11</v>
      </c>
      <c r="BK69" s="17">
        <f t="shared" si="95"/>
        <v>13</v>
      </c>
      <c r="BL69" s="17">
        <f t="shared" si="98"/>
        <v>0</v>
      </c>
      <c r="BM69" s="13">
        <f t="shared" si="96"/>
        <v>0</v>
      </c>
      <c r="BN69" s="12" t="s">
        <v>262</v>
      </c>
      <c r="BO69" s="12" t="s">
        <v>262</v>
      </c>
      <c r="BP69" s="12" t="s">
        <v>262</v>
      </c>
      <c r="BQ69" s="12" t="s">
        <v>262</v>
      </c>
      <c r="BR69" s="12"/>
      <c r="BS69" s="12"/>
      <c r="BT69" s="12"/>
      <c r="BU69" s="12"/>
      <c r="BV69" s="12"/>
      <c r="BW69" s="51"/>
      <c r="BX69" s="12" t="s">
        <v>134</v>
      </c>
      <c r="BY69" s="12" t="s">
        <v>131</v>
      </c>
      <c r="BZ69" s="12" t="s">
        <v>131</v>
      </c>
      <c r="CA69" s="12" t="s">
        <v>132</v>
      </c>
      <c r="CB69" s="12" t="s">
        <v>135</v>
      </c>
      <c r="CC69" s="12" t="s">
        <v>129</v>
      </c>
      <c r="CD69" s="12" t="s">
        <v>129</v>
      </c>
      <c r="CE69" s="12" t="s">
        <v>131</v>
      </c>
      <c r="CF69" s="12" t="s">
        <v>129</v>
      </c>
      <c r="CG69" s="12" t="s">
        <v>131</v>
      </c>
      <c r="CH69" s="10">
        <v>3</v>
      </c>
      <c r="CI69" s="10">
        <v>18</v>
      </c>
      <c r="CJ69" s="148"/>
      <c r="CK69" s="63"/>
    </row>
    <row r="70" spans="1:89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261" t="s">
        <v>308</v>
      </c>
      <c r="M70" s="33">
        <v>0</v>
      </c>
      <c r="N70" s="33">
        <v>161</v>
      </c>
      <c r="O70" s="33">
        <v>321</v>
      </c>
      <c r="P70" s="33">
        <v>641</v>
      </c>
      <c r="Q70" s="33">
        <v>1441</v>
      </c>
      <c r="R70" s="34">
        <v>2801</v>
      </c>
      <c r="S70" s="33">
        <v>5601</v>
      </c>
      <c r="T70" s="33">
        <v>10001</v>
      </c>
      <c r="U70" s="33">
        <v>20001</v>
      </c>
      <c r="V70" s="33">
        <v>40001</v>
      </c>
      <c r="W70" s="33">
        <v>60001</v>
      </c>
      <c r="X70" s="33">
        <v>80001</v>
      </c>
      <c r="Y70" s="34">
        <f>112001+MAX(0,SUMIFS(INDEX(választott_kasztok,,10),INDEX(választott_kasztok,,1),$L70)-13)*31200</f>
        <v>112001</v>
      </c>
      <c r="Z70" s="10">
        <v>9</v>
      </c>
      <c r="AA70" s="10">
        <v>20</v>
      </c>
      <c r="AB70" s="10">
        <v>75</v>
      </c>
      <c r="AC70" s="10">
        <v>0</v>
      </c>
      <c r="AD70" s="10">
        <f>MAX(11,SUMIFS(INDEX(választott_kasztok,,10),INDEX(választott_kasztok,,1),$L70)*11)</f>
        <v>11</v>
      </c>
      <c r="AE70" s="10">
        <f>MAX(3,SUMIFS(INDEX(választott_kasztok,,10),INDEX(választott_kasztok,,1),$L70)*3)</f>
        <v>3</v>
      </c>
      <c r="AF70" s="10">
        <f>MAX(3,SUMIFS(INDEX(választott_kasztok,,10),INDEX(választott_kasztok,,1),$L70)*3)</f>
        <v>3</v>
      </c>
      <c r="AG70" s="20">
        <f>IF(AND(többes_kaszt=iker_kaszt,váltás_kezdet=0,váltás_kezdet&lt;&gt;""),0,5)</f>
        <v>5</v>
      </c>
      <c r="AH70" s="10">
        <f>MAX(0,IF(választott_kaszt_1=$L70,IF(váltás_kezdet="",VLOOKUP($L70,választott_kasztok,10,FALSE)*8,MIN(VLOOKUP($L70,választott_kasztok,10,FALSE),váltás_kezdet)*8+IF(többes_kaszt=iker_kaszt,MAX(0,VLOOKUP($L70,választott_kasztok,10,FALSE)-váltás_kezdet),0)+IF(többes_kaszt=váltott_kaszt,MAX(0,váltás_kezdet-VLOOKUP($L70,választott_kasztok,10,FALSE))*8)),0)+IF(választott_kaszt_2=$L70,VLOOKUP($L70,választott_kasztok,10,FALSE)*IF(többes_kaszt=iker_kaszt,1,8),0))</f>
        <v>0</v>
      </c>
      <c r="AI70" s="10">
        <v>0</v>
      </c>
      <c r="AJ70" s="10">
        <v>7</v>
      </c>
      <c r="AK70" s="10">
        <v>6</v>
      </c>
      <c r="AL70" s="10">
        <f>MAX(1,SUMIFS(INDEX(választott_kasztok,,10),INDEX(választott_kasztok,,1),$L70))*(k6dobás+4)</f>
        <v>10</v>
      </c>
      <c r="AM70" s="10"/>
      <c r="AN70" s="20" t="s">
        <v>1183</v>
      </c>
      <c r="AO70" s="209" t="str">
        <f>IF(tanultMfkaszt=0,"00",IF(INDEX(választott_kasztok,tanultMfkaszt,1)=$L70,TEXT(tanultMfTSZ,"00"),"00"))&amp;"0101"</f>
        <v>000101</v>
      </c>
      <c r="AP70" s="33">
        <v>0</v>
      </c>
      <c r="AQ70" s="56"/>
      <c r="AR70" s="56"/>
      <c r="AS70" s="56">
        <f>IF(SUMIFS(INDEX(választott_kasztok,,10),INDEX(választott_kasztok,,1),$L70)&gt;=3,20,0)</f>
        <v>0</v>
      </c>
      <c r="AT70" s="56"/>
      <c r="AU70" s="56"/>
      <c r="AV70" s="56"/>
      <c r="AW70" s="56"/>
      <c r="AX70" s="56"/>
      <c r="AY70" s="56"/>
      <c r="AZ70" s="56"/>
      <c r="BA70" s="117">
        <f>112001+MAX(0,váltás_kezdet-13)*31200</f>
        <v>112001</v>
      </c>
      <c r="BB70" s="17">
        <f t="shared" si="86"/>
        <v>16</v>
      </c>
      <c r="BC70" s="17">
        <f t="shared" si="87"/>
        <v>13</v>
      </c>
      <c r="BD70" s="17">
        <f t="shared" si="88"/>
        <v>13</v>
      </c>
      <c r="BE70" s="17">
        <f t="shared" si="89"/>
        <v>14</v>
      </c>
      <c r="BF70" s="116">
        <f t="shared" si="90"/>
        <v>16</v>
      </c>
      <c r="BG70" s="17">
        <f t="shared" si="91"/>
        <v>11</v>
      </c>
      <c r="BH70" s="17">
        <f t="shared" si="92"/>
        <v>11</v>
      </c>
      <c r="BI70" s="17">
        <f t="shared" si="93"/>
        <v>13</v>
      </c>
      <c r="BJ70" s="17">
        <f t="shared" si="94"/>
        <v>11</v>
      </c>
      <c r="BK70" s="17">
        <f t="shared" si="95"/>
        <v>13</v>
      </c>
      <c r="BL70" s="17">
        <f t="shared" si="98"/>
        <v>0</v>
      </c>
      <c r="BM70" s="13">
        <f t="shared" si="96"/>
        <v>0</v>
      </c>
      <c r="BN70" s="12" t="s">
        <v>262</v>
      </c>
      <c r="BO70" s="12" t="s">
        <v>262</v>
      </c>
      <c r="BP70" s="12" t="s">
        <v>262</v>
      </c>
      <c r="BQ70" s="12" t="s">
        <v>262</v>
      </c>
      <c r="BR70" s="12"/>
      <c r="BS70" s="12"/>
      <c r="BT70" s="12"/>
      <c r="BU70" s="12"/>
      <c r="BV70" s="12"/>
      <c r="BW70" s="51"/>
      <c r="BX70" s="12" t="s">
        <v>134</v>
      </c>
      <c r="BY70" s="12" t="s">
        <v>131</v>
      </c>
      <c r="BZ70" s="12" t="s">
        <v>131</v>
      </c>
      <c r="CA70" s="12" t="s">
        <v>132</v>
      </c>
      <c r="CB70" s="12" t="s">
        <v>135</v>
      </c>
      <c r="CC70" s="12" t="s">
        <v>129</v>
      </c>
      <c r="CD70" s="12" t="s">
        <v>129</v>
      </c>
      <c r="CE70" s="12" t="s">
        <v>131</v>
      </c>
      <c r="CF70" s="12" t="s">
        <v>129</v>
      </c>
      <c r="CG70" s="12" t="s">
        <v>131</v>
      </c>
      <c r="CH70" s="10">
        <v>3</v>
      </c>
      <c r="CI70" s="10">
        <v>18</v>
      </c>
      <c r="CJ70" s="148"/>
      <c r="CK70" s="63"/>
    </row>
    <row r="71" spans="1:89" ht="15.75" thickBo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263" t="s">
        <v>309</v>
      </c>
      <c r="M71" s="34">
        <v>0</v>
      </c>
      <c r="N71" s="34">
        <v>189</v>
      </c>
      <c r="O71" s="34">
        <v>377</v>
      </c>
      <c r="P71" s="34">
        <v>826</v>
      </c>
      <c r="Q71" s="34">
        <v>1651</v>
      </c>
      <c r="R71" s="34">
        <v>3301</v>
      </c>
      <c r="S71" s="34">
        <v>7251</v>
      </c>
      <c r="T71" s="34">
        <v>12051</v>
      </c>
      <c r="U71" s="34">
        <v>24001</v>
      </c>
      <c r="V71" s="34">
        <v>48001</v>
      </c>
      <c r="W71" s="34">
        <v>68001</v>
      </c>
      <c r="X71" s="34">
        <v>93001</v>
      </c>
      <c r="Y71" s="34">
        <f>130001+MAX(0,SUMIFS(INDEX(választott_kasztok,,10),INDEX(választott_kasztok,,1),$L71)-13)*40000</f>
        <v>130001</v>
      </c>
      <c r="Z71" s="20">
        <v>9</v>
      </c>
      <c r="AA71" s="20">
        <v>20</v>
      </c>
      <c r="AB71" s="20">
        <v>75</v>
      </c>
      <c r="AC71" s="20">
        <v>0</v>
      </c>
      <c r="AD71" s="10">
        <f>MAX(12,SUMIFS(INDEX(választott_kasztok,,10),INDEX(választott_kasztok,,1),$L71)*12)</f>
        <v>12</v>
      </c>
      <c r="AE71" s="10">
        <f>MAX(4,SUMIFS(INDEX(választott_kasztok,,10),INDEX(választott_kasztok,,1),$L71)*4)</f>
        <v>4</v>
      </c>
      <c r="AF71" s="10">
        <f>MAX(4,SUMIFS(INDEX(választott_kasztok,,10),INDEX(választott_kasztok,,1),$L71)*4)</f>
        <v>4</v>
      </c>
      <c r="AG71" s="20">
        <f>IF(AND(többes_kaszt=iker_kaszt,váltás_kezdet=0,váltás_kezdet&lt;&gt;""),0,5)</f>
        <v>5</v>
      </c>
      <c r="AH71" s="10">
        <f>MAX(0,IF(választott_kaszt_1=$L71,IF(váltás_kezdet="",VLOOKUP($L71,választott_kasztok,10,FALSE)*6,MIN(VLOOKUP($L71,választott_kasztok,10,FALSE),váltás_kezdet)*6+IF(többes_kaszt=iker_kaszt,MAX(0,VLOOKUP($L71,választott_kasztok,10,FALSE)-váltás_kezdet),0)+IF(többes_kaszt=váltott_kaszt,MAX(0,váltás_kezdet-VLOOKUP($L71,választott_kasztok,10,FALSE))*6)),0)+IF(választott_kaszt_2=$L71,VLOOKUP($L71,választott_kasztok,10,FALSE)*IF(többes_kaszt=iker_kaszt,1,6),0))</f>
        <v>0</v>
      </c>
      <c r="AI71" s="20">
        <v>0</v>
      </c>
      <c r="AJ71" s="20">
        <v>8</v>
      </c>
      <c r="AK71" s="20">
        <v>7</v>
      </c>
      <c r="AL71" s="10">
        <f>MAX(1,SUMIFS(INDEX(választott_kasztok,,10),INDEX(választott_kasztok,,1),$L71))*(k6dobás+5)</f>
        <v>11</v>
      </c>
      <c r="AM71" s="10"/>
      <c r="AN71" s="20" t="str">
        <f>IF(OR(tanultAfTSZ&gt;0,tanultMfTSZ&gt;0),pyarroni,nincsen)</f>
        <v>nincs</v>
      </c>
      <c r="AO71" s="208" t="str">
        <f>IF(tanultMfkaszt=0,"00",IF(INDEX(választott_kasztok,tanultMfkaszt,1)=$L71,TEXT(tanultMfTSZ,"00"),"00"))&amp;IF(tanultAfkaszt=0,"00",IF(INDEX(választott_kasztok,tanultAfkaszt,1)=$L71,TEXT(tanultAfTSZ,"00"),"00"))&amp;"01"</f>
        <v>000001</v>
      </c>
      <c r="AP71" s="33">
        <v>0</v>
      </c>
      <c r="AQ71" s="56"/>
      <c r="AR71" s="56">
        <v>30</v>
      </c>
      <c r="AS71" s="56">
        <v>30</v>
      </c>
      <c r="AT71" s="56"/>
      <c r="AU71" s="56"/>
      <c r="AV71" s="56"/>
      <c r="AW71" s="56"/>
      <c r="AX71" s="56"/>
      <c r="AY71" s="56"/>
      <c r="AZ71" s="56"/>
      <c r="BA71" s="117">
        <f>130001+MAX(0,váltás_kezdet-13)*40000</f>
        <v>130001</v>
      </c>
      <c r="BB71" s="17">
        <f t="shared" si="86"/>
        <v>16</v>
      </c>
      <c r="BC71" s="17">
        <f t="shared" si="87"/>
        <v>13</v>
      </c>
      <c r="BD71" s="17">
        <f t="shared" si="88"/>
        <v>13</v>
      </c>
      <c r="BE71" s="17">
        <f t="shared" si="89"/>
        <v>16</v>
      </c>
      <c r="BF71" s="116">
        <f t="shared" si="90"/>
        <v>16</v>
      </c>
      <c r="BG71" s="17">
        <f t="shared" si="91"/>
        <v>13</v>
      </c>
      <c r="BH71" s="17">
        <f t="shared" si="92"/>
        <v>10</v>
      </c>
      <c r="BI71" s="17">
        <f t="shared" si="93"/>
        <v>10</v>
      </c>
      <c r="BJ71" s="17">
        <f t="shared" si="94"/>
        <v>10</v>
      </c>
      <c r="BK71" s="17">
        <f t="shared" si="95"/>
        <v>13</v>
      </c>
      <c r="BL71" s="17">
        <f t="shared" si="98"/>
        <v>0</v>
      </c>
      <c r="BM71" s="13">
        <f t="shared" si="96"/>
        <v>0</v>
      </c>
      <c r="BN71" s="12" t="s">
        <v>262</v>
      </c>
      <c r="BO71" s="12" t="s">
        <v>262</v>
      </c>
      <c r="BP71" s="12" t="s">
        <v>262</v>
      </c>
      <c r="BQ71" s="12" t="s">
        <v>262</v>
      </c>
      <c r="BR71" s="12"/>
      <c r="BS71" s="12"/>
      <c r="BT71" s="12"/>
      <c r="BU71" s="12"/>
      <c r="BV71" s="12"/>
      <c r="BW71" s="51"/>
      <c r="BX71" s="12" t="s">
        <v>134</v>
      </c>
      <c r="BY71" s="12" t="s">
        <v>131</v>
      </c>
      <c r="BZ71" s="12" t="s">
        <v>131</v>
      </c>
      <c r="CA71" s="12" t="s">
        <v>134</v>
      </c>
      <c r="CB71" s="12" t="s">
        <v>135</v>
      </c>
      <c r="CC71" s="12" t="s">
        <v>131</v>
      </c>
      <c r="CD71" s="12" t="s">
        <v>128</v>
      </c>
      <c r="CE71" s="12" t="s">
        <v>128</v>
      </c>
      <c r="CF71" s="12" t="s">
        <v>128</v>
      </c>
      <c r="CG71" s="12" t="s">
        <v>131</v>
      </c>
      <c r="CH71" s="10">
        <v>3</v>
      </c>
      <c r="CI71" s="10">
        <v>12</v>
      </c>
      <c r="CJ71" s="148"/>
      <c r="CK71" s="63"/>
    </row>
    <row r="72" spans="1:89" ht="15.75">
      <c r="A72" s="49" t="s">
        <v>263</v>
      </c>
      <c r="B72" s="280" t="s">
        <v>121</v>
      </c>
      <c r="C72" s="280" t="s">
        <v>112</v>
      </c>
      <c r="D72" s="280" t="s">
        <v>113</v>
      </c>
      <c r="E72" s="280" t="s">
        <v>114</v>
      </c>
      <c r="F72" s="280" t="s">
        <v>115</v>
      </c>
      <c r="G72" s="280" t="s">
        <v>116</v>
      </c>
      <c r="H72" s="280" t="s">
        <v>117</v>
      </c>
      <c r="I72" s="280" t="s">
        <v>118</v>
      </c>
      <c r="J72" s="280" t="s">
        <v>120</v>
      </c>
      <c r="K72" s="50" t="s">
        <v>119</v>
      </c>
      <c r="L72" s="10" t="s">
        <v>40</v>
      </c>
      <c r="M72" s="33">
        <v>0</v>
      </c>
      <c r="N72" s="33">
        <v>221</v>
      </c>
      <c r="O72" s="33">
        <v>443</v>
      </c>
      <c r="P72" s="33">
        <v>951</v>
      </c>
      <c r="Q72" s="33">
        <v>2001</v>
      </c>
      <c r="R72" s="33">
        <v>4501</v>
      </c>
      <c r="S72" s="33">
        <v>9001</v>
      </c>
      <c r="T72" s="33">
        <v>16001</v>
      </c>
      <c r="U72" s="33">
        <v>32001</v>
      </c>
      <c r="V72" s="33">
        <v>65001</v>
      </c>
      <c r="W72" s="33">
        <v>120001</v>
      </c>
      <c r="X72" s="33">
        <v>170001</v>
      </c>
      <c r="Y72" s="34">
        <f>240001+MAX(0,SUMIFS(INDEX(választott_kasztok,,10),INDEX(választott_kasztok,,1),$L72)-13)*65000</f>
        <v>240001</v>
      </c>
      <c r="Z72" s="20">
        <v>10</v>
      </c>
      <c r="AA72" s="20">
        <v>20</v>
      </c>
      <c r="AB72" s="20">
        <v>75</v>
      </c>
      <c r="AC72" s="20">
        <v>0</v>
      </c>
      <c r="AD72" s="10">
        <f>MAX(8,SUMIFS(INDEX(választott_kasztok,,10),INDEX(választott_kasztok,,1),$L72)*8)</f>
        <v>8</v>
      </c>
      <c r="AE72" s="10">
        <f t="shared" ref="AE72:AF76" si="151">MAX(3,SUMIFS(INDEX(választott_kasztok,,10),INDEX(választott_kasztok,,1),$L72)*3)</f>
        <v>3</v>
      </c>
      <c r="AF72" s="10">
        <f t="shared" si="151"/>
        <v>3</v>
      </c>
      <c r="AG72" s="20">
        <f>IF(AND(többes_kaszt=iker_kaszt,váltás_kezdet=0,váltás_kezdet&lt;&gt;""),0,4)</f>
        <v>4</v>
      </c>
      <c r="AH72" s="10">
        <f>MAX(0,IF(választott_kaszt_1=$L72,IF(váltás_kezdet="",VLOOKUP($L72,választott_kasztok,10,FALSE)*5,MIN(VLOOKUP($L72,választott_kasztok,10,FALSE),váltás_kezdet)*5+IF(többes_kaszt=iker_kaszt,MAX(0,VLOOKUP($L72,választott_kasztok,10,FALSE)-váltás_kezdet),0)+IF(többes_kaszt=váltott_kaszt,MAX(0,váltás_kezdet-VLOOKUP($L72,választott_kasztok,10,FALSE))*5)),0)+IF(választott_kaszt_2=$L72,VLOOKUP($L72,választott_kasztok,10,FALSE)*IF(többes_kaszt=iker_kaszt,1,5),0))</f>
        <v>0</v>
      </c>
      <c r="AI72" s="10">
        <f>MAX(22,IF(AND(többes_kaszt=váltott_kaszt,választott_kaszt_1=$L72),váltás_kezdet*22,SUMIFS(INDEX(választott_kasztok,,10),INDEX(választott_kasztok,,1),$L72)*22))</f>
        <v>22</v>
      </c>
      <c r="AJ72" s="20">
        <v>4</v>
      </c>
      <c r="AK72" s="20">
        <v>8</v>
      </c>
      <c r="AL72" s="10">
        <f>MAX(1,SUMIFS(INDEX(választott_kasztok,,10),INDEX(választott_kasztok,,1),$L72))*(k6dobás+5)</f>
        <v>11</v>
      </c>
      <c r="AM72" s="10"/>
      <c r="AN72" s="20" t="s">
        <v>97</v>
      </c>
      <c r="AO72" s="208"/>
      <c r="AP72" s="33">
        <v>0</v>
      </c>
      <c r="AQ72" s="56">
        <v>20</v>
      </c>
      <c r="AR72" s="56">
        <v>35</v>
      </c>
      <c r="AS72" s="56">
        <v>30</v>
      </c>
      <c r="AT72" s="56"/>
      <c r="AU72" s="56"/>
      <c r="AV72" s="56"/>
      <c r="AW72" s="56"/>
      <c r="AX72" s="56"/>
      <c r="AY72" s="56"/>
      <c r="AZ72" s="56"/>
      <c r="BA72" s="117">
        <f>240001+MAX(0,váltás_kezdet-13)*65000</f>
        <v>240001</v>
      </c>
      <c r="BB72" s="17">
        <f t="shared" si="86"/>
        <v>14</v>
      </c>
      <c r="BC72" s="116">
        <f t="shared" si="87"/>
        <v>18</v>
      </c>
      <c r="BD72" s="17">
        <f t="shared" si="88"/>
        <v>16</v>
      </c>
      <c r="BE72" s="17">
        <f t="shared" si="89"/>
        <v>16</v>
      </c>
      <c r="BF72" s="116">
        <f t="shared" si="90"/>
        <v>16</v>
      </c>
      <c r="BG72" s="17">
        <f t="shared" si="91"/>
        <v>11</v>
      </c>
      <c r="BH72" s="17">
        <f t="shared" si="92"/>
        <v>11</v>
      </c>
      <c r="BI72" s="17">
        <f t="shared" si="93"/>
        <v>16</v>
      </c>
      <c r="BJ72" s="17">
        <f t="shared" si="94"/>
        <v>14</v>
      </c>
      <c r="BK72" s="17">
        <f t="shared" si="95"/>
        <v>16</v>
      </c>
      <c r="BL72" s="17">
        <f t="shared" si="98"/>
        <v>0</v>
      </c>
      <c r="BM72" s="13">
        <f t="shared" si="96"/>
        <v>0</v>
      </c>
      <c r="BN72" s="12"/>
      <c r="BO72" s="12"/>
      <c r="BP72" s="12"/>
      <c r="BQ72" s="12"/>
      <c r="BR72" s="12"/>
      <c r="BS72" s="12"/>
      <c r="BT72" s="12"/>
      <c r="BU72" s="12"/>
      <c r="BV72" s="12"/>
      <c r="BW72" s="51"/>
      <c r="BX72" s="12" t="s">
        <v>132</v>
      </c>
      <c r="BY72" s="12" t="s">
        <v>136</v>
      </c>
      <c r="BZ72" s="12" t="s">
        <v>134</v>
      </c>
      <c r="CA72" s="12" t="s">
        <v>134</v>
      </c>
      <c r="CB72" s="12" t="s">
        <v>135</v>
      </c>
      <c r="CC72" s="12" t="s">
        <v>129</v>
      </c>
      <c r="CD72" s="12" t="s">
        <v>129</v>
      </c>
      <c r="CE72" s="12" t="s">
        <v>134</v>
      </c>
      <c r="CF72" s="12" t="s">
        <v>132</v>
      </c>
      <c r="CG72" s="12" t="s">
        <v>134</v>
      </c>
      <c r="CH72" s="20">
        <v>1</v>
      </c>
      <c r="CI72" s="10">
        <v>3</v>
      </c>
      <c r="CJ72" s="148"/>
      <c r="CK72" s="63"/>
    </row>
    <row r="73" spans="1:89">
      <c r="A73" s="145" t="s">
        <v>689</v>
      </c>
      <c r="B73" s="200">
        <v>18</v>
      </c>
      <c r="C73" s="14">
        <v>20</v>
      </c>
      <c r="D73" s="19">
        <v>18</v>
      </c>
      <c r="E73" s="19">
        <v>18</v>
      </c>
      <c r="F73" s="19">
        <v>20</v>
      </c>
      <c r="G73" s="19">
        <v>18</v>
      </c>
      <c r="H73" s="19">
        <v>22</v>
      </c>
      <c r="I73" s="19">
        <v>18</v>
      </c>
      <c r="J73" s="19">
        <v>17</v>
      </c>
      <c r="K73" s="16">
        <v>18</v>
      </c>
      <c r="L73" s="261" t="s">
        <v>1154</v>
      </c>
      <c r="M73" s="33">
        <v>0</v>
      </c>
      <c r="N73" s="33">
        <v>161</v>
      </c>
      <c r="O73" s="33">
        <v>321</v>
      </c>
      <c r="P73" s="33">
        <v>641</v>
      </c>
      <c r="Q73" s="33">
        <v>1441</v>
      </c>
      <c r="R73" s="34">
        <v>2801</v>
      </c>
      <c r="S73" s="33">
        <v>5601</v>
      </c>
      <c r="T73" s="33">
        <v>10001</v>
      </c>
      <c r="U73" s="33">
        <v>20001</v>
      </c>
      <c r="V73" s="33">
        <v>40001</v>
      </c>
      <c r="W73" s="33">
        <v>60001</v>
      </c>
      <c r="X73" s="33">
        <v>80001</v>
      </c>
      <c r="Y73" s="34">
        <f>112001+MAX(0,SUMIFS(INDEX(választott_kasztok,,10),INDEX(választott_kasztok,,1),$L73)-13)*31200</f>
        <v>112001</v>
      </c>
      <c r="Z73" s="10">
        <v>9</v>
      </c>
      <c r="AA73" s="10">
        <v>20</v>
      </c>
      <c r="AB73" s="10">
        <v>75</v>
      </c>
      <c r="AC73" s="10">
        <v>0</v>
      </c>
      <c r="AD73" s="10">
        <f>MAX(11,SUMIFS(INDEX(választott_kasztok,,10),INDEX(választott_kasztok,,1),$L73)*11)</f>
        <v>11</v>
      </c>
      <c r="AE73" s="10">
        <f t="shared" si="151"/>
        <v>3</v>
      </c>
      <c r="AF73" s="10">
        <f t="shared" si="151"/>
        <v>3</v>
      </c>
      <c r="AG73" s="20">
        <f>IF(AND(többes_kaszt=iker_kaszt,váltás_kezdet=0,váltás_kezdet&lt;&gt;""),0,10)</f>
        <v>10</v>
      </c>
      <c r="AH73" s="10">
        <f>MAX(0,IF(választott_kaszt_1=$L73,IF(váltás_kezdet="",VLOOKUP($L73,választott_kasztok,10,FALSE)*14,MIN(VLOOKUP($L73,választott_kasztok,10,FALSE),váltás_kezdet)*14+IF(többes_kaszt=iker_kaszt,MAX(0,VLOOKUP($L73,választott_kasztok,10,FALSE)-váltás_kezdet),0)+IF(többes_kaszt=váltott_kaszt,MAX(0,váltás_kezdet-VLOOKUP($L73,választott_kasztok,10,FALSE))*14)),0)+IF(választott_kaszt_2=$L73,VLOOKUP($L73,választott_kasztok,10,FALSE)*IF(többes_kaszt=iker_kaszt,1,14),0))</f>
        <v>0</v>
      </c>
      <c r="AI73" s="10">
        <v>0</v>
      </c>
      <c r="AJ73" s="10">
        <v>7</v>
      </c>
      <c r="AK73" s="10">
        <v>6</v>
      </c>
      <c r="AL73" s="10">
        <f>MAX(1,SUMIFS(INDEX(választott_kasztok,,10),INDEX(választott_kasztok,,1),$L73))*(k6dobás+4)</f>
        <v>10</v>
      </c>
      <c r="AM73" s="10"/>
      <c r="AN73" s="20" t="str">
        <f>IF(OR(tanultAfTSZ&gt;0,tanultMfTSZ&gt;0),pyarroni,nincsen)</f>
        <v>nincs</v>
      </c>
      <c r="AO73" s="208" t="str">
        <f>IF(tanultMfkaszt=0,"00",IF(INDEX(választott_kasztok,tanultMfkaszt,1)=$L73,TEXT(tanultMfTSZ,"00"),"00"))&amp;IF(tanultAfkaszt=0,"00",IF(INDEX(választott_kasztok,tanultAfkaszt,1)=$L73,TEXT(tanultAfTSZ,"00"),"00"))&amp;"01"</f>
        <v>000001</v>
      </c>
      <c r="AP73" s="33">
        <v>0</v>
      </c>
      <c r="AQ73" s="56">
        <v>15</v>
      </c>
      <c r="AR73" s="56">
        <v>20</v>
      </c>
      <c r="AS73" s="56">
        <v>10</v>
      </c>
      <c r="AT73" s="56"/>
      <c r="AU73" s="56"/>
      <c r="AV73" s="56"/>
      <c r="AW73" s="56"/>
      <c r="AX73" s="56"/>
      <c r="AY73" s="56"/>
      <c r="AZ73" s="56"/>
      <c r="BA73" s="117">
        <f>112001+MAX(0,váltás_kezdet-13)*31200</f>
        <v>112001</v>
      </c>
      <c r="BB73" s="17">
        <f t="shared" si="86"/>
        <v>16</v>
      </c>
      <c r="BC73" s="17">
        <f t="shared" si="87"/>
        <v>13</v>
      </c>
      <c r="BD73" s="17">
        <f t="shared" si="88"/>
        <v>13</v>
      </c>
      <c r="BE73" s="17">
        <f t="shared" si="89"/>
        <v>14</v>
      </c>
      <c r="BF73" s="116">
        <f t="shared" si="90"/>
        <v>16</v>
      </c>
      <c r="BG73" s="17">
        <f t="shared" si="91"/>
        <v>11</v>
      </c>
      <c r="BH73" s="17">
        <f t="shared" si="92"/>
        <v>11</v>
      </c>
      <c r="BI73" s="17">
        <f t="shared" si="93"/>
        <v>13</v>
      </c>
      <c r="BJ73" s="17">
        <f t="shared" si="94"/>
        <v>11</v>
      </c>
      <c r="BK73" s="17">
        <f t="shared" si="95"/>
        <v>13</v>
      </c>
      <c r="BL73" s="17">
        <f t="shared" si="98"/>
        <v>0</v>
      </c>
      <c r="BM73" s="13">
        <f t="shared" si="96"/>
        <v>0</v>
      </c>
      <c r="BN73" s="12" t="s">
        <v>262</v>
      </c>
      <c r="BO73" s="12" t="s">
        <v>262</v>
      </c>
      <c r="BP73" s="12" t="s">
        <v>262</v>
      </c>
      <c r="BQ73" s="12" t="s">
        <v>262</v>
      </c>
      <c r="BR73" s="12"/>
      <c r="BS73" s="12"/>
      <c r="BT73" s="12"/>
      <c r="BU73" s="12"/>
      <c r="BV73" s="12"/>
      <c r="BW73" s="51"/>
      <c r="BX73" s="12" t="s">
        <v>134</v>
      </c>
      <c r="BY73" s="12" t="s">
        <v>131</v>
      </c>
      <c r="BZ73" s="12" t="s">
        <v>131</v>
      </c>
      <c r="CA73" s="12" t="s">
        <v>132</v>
      </c>
      <c r="CB73" s="12" t="s">
        <v>135</v>
      </c>
      <c r="CC73" s="12" t="s">
        <v>129</v>
      </c>
      <c r="CD73" s="12" t="s">
        <v>129</v>
      </c>
      <c r="CE73" s="12" t="s">
        <v>131</v>
      </c>
      <c r="CF73" s="12" t="s">
        <v>129</v>
      </c>
      <c r="CG73" s="12" t="s">
        <v>131</v>
      </c>
      <c r="CH73" s="20">
        <v>1</v>
      </c>
      <c r="CI73" s="10">
        <v>18</v>
      </c>
      <c r="CJ73" s="148"/>
      <c r="CK73" s="63"/>
    </row>
    <row r="74" spans="1:89">
      <c r="A74" s="145" t="s">
        <v>690</v>
      </c>
      <c r="B74" s="200">
        <v>18</v>
      </c>
      <c r="C74" s="14">
        <v>20</v>
      </c>
      <c r="D74" s="19">
        <v>18</v>
      </c>
      <c r="E74" s="19">
        <v>18</v>
      </c>
      <c r="F74" s="19">
        <v>20</v>
      </c>
      <c r="G74" s="19">
        <v>18</v>
      </c>
      <c r="H74" s="19">
        <v>22</v>
      </c>
      <c r="I74" s="19">
        <v>18</v>
      </c>
      <c r="J74" s="19">
        <v>17</v>
      </c>
      <c r="K74" s="16">
        <v>18</v>
      </c>
      <c r="L74" s="261" t="s">
        <v>310</v>
      </c>
      <c r="M74" s="33">
        <v>0</v>
      </c>
      <c r="N74" s="33">
        <v>161</v>
      </c>
      <c r="O74" s="33">
        <v>321</v>
      </c>
      <c r="P74" s="33">
        <v>641</v>
      </c>
      <c r="Q74" s="33">
        <v>1441</v>
      </c>
      <c r="R74" s="34">
        <v>2801</v>
      </c>
      <c r="S74" s="33">
        <v>5601</v>
      </c>
      <c r="T74" s="33">
        <v>10001</v>
      </c>
      <c r="U74" s="33">
        <v>20001</v>
      </c>
      <c r="V74" s="33">
        <v>40001</v>
      </c>
      <c r="W74" s="33">
        <v>60001</v>
      </c>
      <c r="X74" s="33">
        <v>80001</v>
      </c>
      <c r="Y74" s="34">
        <f>112001+MAX(0,SUMIFS(INDEX(választott_kasztok,,10),INDEX(választott_kasztok,,1),$L74)-13)*31200</f>
        <v>112001</v>
      </c>
      <c r="Z74" s="10">
        <v>9</v>
      </c>
      <c r="AA74" s="10">
        <v>20</v>
      </c>
      <c r="AB74" s="10">
        <v>75</v>
      </c>
      <c r="AC74" s="10">
        <v>0</v>
      </c>
      <c r="AD74" s="10">
        <f>MAX(11,SUMIFS(INDEX(választott_kasztok,,10),INDEX(választott_kasztok,,1),$L74)*11)</f>
        <v>11</v>
      </c>
      <c r="AE74" s="10">
        <f t="shared" si="151"/>
        <v>3</v>
      </c>
      <c r="AF74" s="10">
        <f t="shared" si="151"/>
        <v>3</v>
      </c>
      <c r="AG74" s="20">
        <f>IF(AND(többes_kaszt=iker_kaszt,váltás_kezdet=0,váltás_kezdet&lt;&gt;""),0,8)</f>
        <v>8</v>
      </c>
      <c r="AH74" s="10">
        <f>MAX(0,IF(választott_kaszt_1=$L74,IF(váltás_kezdet="",VLOOKUP($L74,választott_kasztok,10,FALSE)*10,MIN(VLOOKUP($L74,választott_kasztok,10,FALSE),váltás_kezdet)*10+IF(többes_kaszt=iker_kaszt,MAX(0,VLOOKUP($L74,választott_kasztok,10,FALSE)-váltás_kezdet),0)+IF(többes_kaszt=váltott_kaszt,MAX(0,váltás_kezdet-VLOOKUP($L74,választott_kasztok,10,FALSE))*10)),0)+IF(választott_kaszt_2=$L74,VLOOKUP($L74,választott_kasztok,10,FALSE)*IF(többes_kaszt=iker_kaszt,1,10),0))</f>
        <v>0</v>
      </c>
      <c r="AI74" s="10">
        <v>0</v>
      </c>
      <c r="AJ74" s="10">
        <v>7</v>
      </c>
      <c r="AK74" s="10">
        <v>7</v>
      </c>
      <c r="AL74" s="10">
        <f>MAX(1,SUMIFS(INDEX(választott_kasztok,,10),INDEX(választott_kasztok,,1),$L74))*(k6dobás+5)</f>
        <v>11</v>
      </c>
      <c r="AM74" s="10"/>
      <c r="AN74" s="20" t="str">
        <f>IF(OR(tanultAfTSZ&gt;0,tanultMfTSZ&gt;0),pyarroni,nincsen)</f>
        <v>nincs</v>
      </c>
      <c r="AO74" s="208" t="str">
        <f>IF(tanultMfkaszt=0,"00",IF(INDEX(választott_kasztok,tanultMfkaszt,1)=$L74,TEXT(tanultMfTSZ,"00"),"00"))&amp;IF(tanultAfkaszt=0,"00",IF(INDEX(választott_kasztok,tanultAfkaszt,1)=$L74,TEXT(tanultAfTSZ,"00"),"00"))&amp;"01"</f>
        <v>000001</v>
      </c>
      <c r="AP74" s="33">
        <v>0</v>
      </c>
      <c r="AQ74" s="56">
        <v>15</v>
      </c>
      <c r="AR74" s="56"/>
      <c r="AS74" s="56">
        <v>10</v>
      </c>
      <c r="AT74" s="56"/>
      <c r="AU74" s="56"/>
      <c r="AV74" s="56">
        <v>10</v>
      </c>
      <c r="AW74" s="56"/>
      <c r="AX74" s="56"/>
      <c r="AY74" s="56"/>
      <c r="AZ74" s="56"/>
      <c r="BA74" s="117">
        <f>112001+MAX(0,váltás_kezdet-13)*31200</f>
        <v>112001</v>
      </c>
      <c r="BB74" s="17">
        <f t="shared" si="86"/>
        <v>16</v>
      </c>
      <c r="BC74" s="17">
        <f t="shared" si="87"/>
        <v>13</v>
      </c>
      <c r="BD74" s="17">
        <f t="shared" si="88"/>
        <v>13</v>
      </c>
      <c r="BE74" s="17">
        <f t="shared" si="89"/>
        <v>14</v>
      </c>
      <c r="BF74" s="116">
        <f t="shared" si="90"/>
        <v>16</v>
      </c>
      <c r="BG74" s="17">
        <f t="shared" si="91"/>
        <v>11</v>
      </c>
      <c r="BH74" s="17">
        <f t="shared" si="92"/>
        <v>11</v>
      </c>
      <c r="BI74" s="17">
        <f t="shared" si="93"/>
        <v>13</v>
      </c>
      <c r="BJ74" s="17">
        <f t="shared" si="94"/>
        <v>11</v>
      </c>
      <c r="BK74" s="17">
        <f t="shared" si="95"/>
        <v>13</v>
      </c>
      <c r="BL74" s="17">
        <f t="shared" si="98"/>
        <v>0</v>
      </c>
      <c r="BM74" s="13">
        <f t="shared" si="96"/>
        <v>0</v>
      </c>
      <c r="BN74" s="12" t="s">
        <v>262</v>
      </c>
      <c r="BO74" s="12" t="s">
        <v>262</v>
      </c>
      <c r="BP74" s="12" t="s">
        <v>262</v>
      </c>
      <c r="BQ74" s="12" t="s">
        <v>262</v>
      </c>
      <c r="BR74" s="12"/>
      <c r="BS74" s="12"/>
      <c r="BT74" s="12"/>
      <c r="BU74" s="12"/>
      <c r="BV74" s="12"/>
      <c r="BW74" s="51"/>
      <c r="BX74" s="12" t="s">
        <v>134</v>
      </c>
      <c r="BY74" s="12" t="s">
        <v>131</v>
      </c>
      <c r="BZ74" s="12" t="s">
        <v>131</v>
      </c>
      <c r="CA74" s="12" t="s">
        <v>132</v>
      </c>
      <c r="CB74" s="12" t="s">
        <v>135</v>
      </c>
      <c r="CC74" s="12" t="s">
        <v>129</v>
      </c>
      <c r="CD74" s="12" t="s">
        <v>129</v>
      </c>
      <c r="CE74" s="12" t="s">
        <v>131</v>
      </c>
      <c r="CF74" s="12" t="s">
        <v>129</v>
      </c>
      <c r="CG74" s="12" t="s">
        <v>131</v>
      </c>
      <c r="CH74" s="10">
        <v>3</v>
      </c>
      <c r="CI74" s="10">
        <v>18</v>
      </c>
      <c r="CJ74" s="148"/>
      <c r="CK74" s="63"/>
    </row>
    <row r="75" spans="1:89">
      <c r="A75" s="145" t="s">
        <v>255</v>
      </c>
      <c r="B75" s="200">
        <v>18</v>
      </c>
      <c r="C75" s="14">
        <v>18</v>
      </c>
      <c r="D75" s="14">
        <v>18</v>
      </c>
      <c r="E75" s="14">
        <v>18</v>
      </c>
      <c r="F75" s="14">
        <v>18</v>
      </c>
      <c r="G75" s="14">
        <v>18</v>
      </c>
      <c r="H75" s="14">
        <v>18</v>
      </c>
      <c r="I75" s="14">
        <v>22</v>
      </c>
      <c r="J75" s="14">
        <v>18</v>
      </c>
      <c r="K75" s="16">
        <v>18</v>
      </c>
      <c r="L75" s="263" t="s">
        <v>672</v>
      </c>
      <c r="M75" s="33">
        <v>0</v>
      </c>
      <c r="N75" s="33">
        <v>189</v>
      </c>
      <c r="O75" s="33">
        <v>377</v>
      </c>
      <c r="P75" s="33">
        <v>826</v>
      </c>
      <c r="Q75" s="33">
        <v>1651</v>
      </c>
      <c r="R75" s="33">
        <v>3301</v>
      </c>
      <c r="S75" s="33">
        <v>7251</v>
      </c>
      <c r="T75" s="33">
        <v>12051</v>
      </c>
      <c r="U75" s="33">
        <v>24001</v>
      </c>
      <c r="V75" s="33">
        <v>48001</v>
      </c>
      <c r="W75" s="33">
        <v>68001</v>
      </c>
      <c r="X75" s="33">
        <v>93001</v>
      </c>
      <c r="Y75" s="34">
        <f>130001+MAX(0,SUMIFS(INDEX(választott_kasztok,,10),INDEX(választott_kasztok,,1),$L75)-13)*40000</f>
        <v>130001</v>
      </c>
      <c r="Z75" s="10">
        <v>9</v>
      </c>
      <c r="AA75" s="10">
        <v>20</v>
      </c>
      <c r="AB75" s="10">
        <v>75</v>
      </c>
      <c r="AC75" s="10">
        <v>0</v>
      </c>
      <c r="AD75" s="10">
        <f>MAX(12,SUMIFS(INDEX(választott_kasztok,,10),INDEX(választott_kasztok,,1),$L75)*12)</f>
        <v>12</v>
      </c>
      <c r="AE75" s="10">
        <f>MAX(4,SUMIFS(INDEX(választott_kasztok,,10),INDEX(választott_kasztok,,1),$L75)*4)</f>
        <v>4</v>
      </c>
      <c r="AF75" s="10">
        <f>MAX(4,SUMIFS(INDEX(választott_kasztok,,10),INDEX(választott_kasztok,,1),$L75)*4)</f>
        <v>4</v>
      </c>
      <c r="AG75" s="20">
        <f>IF(AND(többes_kaszt=iker_kaszt,váltás_kezdet=0,váltás_kezdet&lt;&gt;""),0,3)</f>
        <v>3</v>
      </c>
      <c r="AH75" s="10">
        <f>MAX(0,IF(választott_kaszt_1=$L75,IF(váltás_kezdet="",VLOOKUP($L75,választott_kasztok,10,FALSE)*6,MIN(VLOOKUP($L75,választott_kasztok,10,FALSE),váltás_kezdet)*6+IF(többes_kaszt=iker_kaszt,MAX(0,VLOOKUP($L75,választott_kasztok,10,FALSE)-váltás_kezdet),0)+IF(többes_kaszt=váltott_kaszt,MAX(0,váltás_kezdet-VLOOKUP($L75,választott_kasztok,10,FALSE))*6)),0)+IF(választott_kaszt_2=$L75,VLOOKUP($L75,választott_kasztok,10,FALSE)*IF(többes_kaszt=iker_kaszt,1,6),0))</f>
        <v>0</v>
      </c>
      <c r="AI75" s="10">
        <v>0</v>
      </c>
      <c r="AJ75" s="10">
        <v>8</v>
      </c>
      <c r="AK75" s="10">
        <v>7</v>
      </c>
      <c r="AL75" s="10">
        <f>MAX(1,SUMIFS(INDEX(választott_kasztok,,10),INDEX(választott_kasztok,,1),$L75))*(k6dobás+5)</f>
        <v>11</v>
      </c>
      <c r="AM75" s="10"/>
      <c r="AN75" s="20" t="str">
        <f>IF(OR(tanultAfTSZ&gt;0,tanultMfTSZ&gt;0),pyarroni,nincsen)</f>
        <v>nincs</v>
      </c>
      <c r="AO75" s="208" t="str">
        <f>IF(tanultMfkaszt=0,"00",IF(INDEX(választott_kasztok,tanultMfkaszt,1)=$L75,TEXT(tanultMfTSZ,"00"),"00"))&amp;IF(tanultAfkaszt=0,"00",IF(INDEX(választott_kasztok,tanultAfkaszt,1)=$L75,TEXT(tanultAfTSZ,"00"),"00"))&amp;"01"</f>
        <v>000001</v>
      </c>
      <c r="AP75" s="33">
        <v>0</v>
      </c>
      <c r="AQ75" s="56"/>
      <c r="AR75" s="56">
        <v>35</v>
      </c>
      <c r="AS75" s="56">
        <v>25</v>
      </c>
      <c r="AT75" s="56"/>
      <c r="AU75" s="56"/>
      <c r="AV75" s="56"/>
      <c r="AW75" s="56"/>
      <c r="AX75" s="56"/>
      <c r="AY75" s="56"/>
      <c r="AZ75" s="56"/>
      <c r="BA75" s="117">
        <f>130001+MAX(0,váltás_kezdet-13)*40000</f>
        <v>130001</v>
      </c>
      <c r="BB75" s="17">
        <f t="shared" si="86"/>
        <v>16</v>
      </c>
      <c r="BC75" s="17">
        <f t="shared" si="87"/>
        <v>13</v>
      </c>
      <c r="BD75" s="17">
        <f t="shared" si="88"/>
        <v>13</v>
      </c>
      <c r="BE75" s="17">
        <f t="shared" si="89"/>
        <v>16</v>
      </c>
      <c r="BF75" s="116">
        <f t="shared" si="90"/>
        <v>16</v>
      </c>
      <c r="BG75" s="17">
        <f t="shared" si="91"/>
        <v>13</v>
      </c>
      <c r="BH75" s="17">
        <f t="shared" si="92"/>
        <v>10</v>
      </c>
      <c r="BI75" s="17">
        <f t="shared" si="93"/>
        <v>10</v>
      </c>
      <c r="BJ75" s="17">
        <f t="shared" si="94"/>
        <v>10</v>
      </c>
      <c r="BK75" s="17">
        <f t="shared" si="95"/>
        <v>13</v>
      </c>
      <c r="BL75" s="17">
        <f t="shared" si="98"/>
        <v>0</v>
      </c>
      <c r="BM75" s="13">
        <f t="shared" ref="BM75:BM78" si="152">MAX(0,erő-(SUMIFS(INDEX(dobások,,4),INDEX(dobások,,1),BX75)+SUMIFS(INDEX(fajok,,3),INDEX(fajok,,1),választott_faj)))+MAX(0,gyorsaság-(SUMIFS(INDEX(dobások,,4),INDEX(dobások,,1),BY75)+SUMIFS(INDEX(fajok,,4),INDEX(fajok,,1),választott_faj)))+MAX(0,ügyesség-(SUMIFS(INDEX(dobások,,4),INDEX(dobások,,1),BZ75)+SUMIFS(INDEX(fajok,,5),INDEX(fajok,,1),választott_faj)))+MAX(0,állóképesség-(SUMIFS(INDEX(dobások,,4),INDEX(dobások,,1),CA75)+SUMIFS(INDEX(fajok,,6),INDEX(fajok,,1),választott_faj)))+MAX(0,egészség-(SUMIFS(INDEX(dobások,,4),INDEX(dobások,,1),CB75)+SUMIFS(INDEX(fajok,,7),INDEX(fajok,,1),választott_faj)))+MAX(0,szépség-(SUMIFS(INDEX(dobások,,4),INDEX(dobások,,1),CC75)+SUMIFS(INDEX(fajok,,8),INDEX(fajok,,1),választott_faj)))+MAX(0,intelligencia-(SUMIFS(INDEX(dobások,,4),INDEX(dobások,,1),CD75)+SUMIFS(INDEX(fajok,,9),INDEX(fajok,,1),választott_faj)))+MAX(0,akaraterő-SUMIFS(INDEX(dobások,,4),INDEX(dobások,,1),CE75))+MAX(0,asztrál-(SUMIFS(INDEX(dobások,,4),INDEX(dobások,,1),CF75)+SUMIFS(INDEX(fajok,,10),INDEX(fajok,,1),választott_faj)))+MAX(0,érzékelés-SUMIFS(INDEX(dobások,,4),INDEX(dobások,,1),CG75))</f>
        <v>0</v>
      </c>
      <c r="BN75" s="12" t="s">
        <v>262</v>
      </c>
      <c r="BO75" s="12" t="s">
        <v>262</v>
      </c>
      <c r="BP75" s="12" t="s">
        <v>262</v>
      </c>
      <c r="BQ75" s="12" t="s">
        <v>262</v>
      </c>
      <c r="BR75" s="12"/>
      <c r="BS75" s="12"/>
      <c r="BT75" s="12"/>
      <c r="BU75" s="12"/>
      <c r="BV75" s="12"/>
      <c r="BW75" s="51"/>
      <c r="BX75" s="12" t="s">
        <v>134</v>
      </c>
      <c r="BY75" s="12" t="s">
        <v>131</v>
      </c>
      <c r="BZ75" s="12" t="s">
        <v>131</v>
      </c>
      <c r="CA75" s="12" t="s">
        <v>134</v>
      </c>
      <c r="CB75" s="12" t="s">
        <v>135</v>
      </c>
      <c r="CC75" s="12" t="s">
        <v>131</v>
      </c>
      <c r="CD75" s="12" t="s">
        <v>128</v>
      </c>
      <c r="CE75" s="12" t="s">
        <v>128</v>
      </c>
      <c r="CF75" s="12" t="s">
        <v>128</v>
      </c>
      <c r="CG75" s="12" t="s">
        <v>131</v>
      </c>
      <c r="CH75" s="10">
        <v>3</v>
      </c>
      <c r="CI75" s="10">
        <v>12</v>
      </c>
      <c r="CJ75" s="148"/>
      <c r="CK75" s="63"/>
    </row>
    <row r="76" spans="1:89">
      <c r="A76" s="145" t="s">
        <v>246</v>
      </c>
      <c r="B76" s="200">
        <v>18</v>
      </c>
      <c r="C76" s="14">
        <v>18</v>
      </c>
      <c r="D76" s="14">
        <v>21</v>
      </c>
      <c r="E76" s="14">
        <v>21</v>
      </c>
      <c r="F76" s="14">
        <v>18</v>
      </c>
      <c r="G76" s="14">
        <v>18</v>
      </c>
      <c r="H76" s="14">
        <v>21</v>
      </c>
      <c r="I76" s="14">
        <v>18</v>
      </c>
      <c r="J76" s="14">
        <v>18</v>
      </c>
      <c r="K76" s="16">
        <v>18</v>
      </c>
      <c r="L76" s="261" t="s">
        <v>999</v>
      </c>
      <c r="M76" s="33">
        <v>0</v>
      </c>
      <c r="N76" s="33">
        <v>161</v>
      </c>
      <c r="O76" s="33">
        <v>321</v>
      </c>
      <c r="P76" s="33">
        <v>641</v>
      </c>
      <c r="Q76" s="33">
        <v>1441</v>
      </c>
      <c r="R76" s="34">
        <v>2801</v>
      </c>
      <c r="S76" s="33">
        <v>5601</v>
      </c>
      <c r="T76" s="33">
        <v>10001</v>
      </c>
      <c r="U76" s="33">
        <v>20001</v>
      </c>
      <c r="V76" s="33">
        <v>40001</v>
      </c>
      <c r="W76" s="33">
        <v>60001</v>
      </c>
      <c r="X76" s="33">
        <v>80001</v>
      </c>
      <c r="Y76" s="34">
        <f>112001+MAX(0,SUMIFS(INDEX(választott_kasztok,,10),INDEX(választott_kasztok,,1),$L76)-13)*31200</f>
        <v>112001</v>
      </c>
      <c r="Z76" s="10">
        <v>9</v>
      </c>
      <c r="AA76" s="10">
        <v>20</v>
      </c>
      <c r="AB76" s="10">
        <v>75</v>
      </c>
      <c r="AC76" s="10">
        <v>0</v>
      </c>
      <c r="AD76" s="10">
        <f>MAX(11,SUMIFS(INDEX(választott_kasztok,,10),INDEX(választott_kasztok,,1),$L76)*11)</f>
        <v>11</v>
      </c>
      <c r="AE76" s="10">
        <f t="shared" si="151"/>
        <v>3</v>
      </c>
      <c r="AF76" s="10">
        <f t="shared" si="151"/>
        <v>3</v>
      </c>
      <c r="AG76" s="20">
        <f>IF(AND(többes_kaszt=iker_kaszt,váltás_kezdet=0,váltás_kezdet&lt;&gt;""),0,10)</f>
        <v>10</v>
      </c>
      <c r="AH76" s="10">
        <f>MAX(0,IF(választott_kaszt_1=$L76,IF(váltás_kezdet="",VLOOKUP($L76,választott_kasztok,10,FALSE)*14,MIN(VLOOKUP($L76,választott_kasztok,10,FALSE),váltás_kezdet)*14+IF(többes_kaszt=iker_kaszt,MAX(0,VLOOKUP($L76,választott_kasztok,10,FALSE)-váltás_kezdet),0)+IF(többes_kaszt=váltott_kaszt,MAX(0,váltás_kezdet-VLOOKUP($L76,választott_kasztok,10,FALSE))*14)),0)+IF(választott_kaszt_2=$L76,VLOOKUP($L76,választott_kasztok,10,FALSE)*IF(többes_kaszt=iker_kaszt,1,14),0))</f>
        <v>0</v>
      </c>
      <c r="AI76" s="10">
        <v>0</v>
      </c>
      <c r="AJ76" s="10">
        <v>7</v>
      </c>
      <c r="AK76" s="10">
        <v>6</v>
      </c>
      <c r="AL76" s="10">
        <f>MAX(1,SUMIFS(INDEX(választott_kasztok,,10),INDEX(választott_kasztok,,1),$L76))*(k6dobás+4)</f>
        <v>10</v>
      </c>
      <c r="AM76" s="10"/>
      <c r="AN76" s="20" t="s">
        <v>107</v>
      </c>
      <c r="AO76" s="208"/>
      <c r="AP76" s="33">
        <v>0</v>
      </c>
      <c r="AQ76" s="56">
        <v>15</v>
      </c>
      <c r="AR76" s="56">
        <v>20</v>
      </c>
      <c r="AS76" s="56">
        <v>10</v>
      </c>
      <c r="AT76" s="56"/>
      <c r="AU76" s="56"/>
      <c r="AV76" s="56"/>
      <c r="AW76" s="56"/>
      <c r="AX76" s="56"/>
      <c r="AY76" s="56"/>
      <c r="AZ76" s="56"/>
      <c r="BA76" s="117">
        <f>112001+MAX(0,váltás_kezdet-13)*31200</f>
        <v>112001</v>
      </c>
      <c r="BB76" s="17">
        <f t="shared" ref="BB76" si="153">MAX(SUMIFS(INDEX(dobások,,2),INDEX(dobások,,1),BX76)+SUMIFS(INDEX(fajok,,3),INDEX(fajok,,1),választott_faj),IF(AND(többes_kaszt=iker_kaszt,váltás_kezdet=1,választott_kaszt_1=$L76),SUMIFS(INDEX(kasztok,,43),INDEX(kasztok,,1),választott_kaszt_2),0))</f>
        <v>16</v>
      </c>
      <c r="BC76" s="17">
        <f t="shared" ref="BC76" si="154">MAX(SUMIFS(INDEX(dobások,,2),INDEX(dobások,,1),BY76)+SUMIFS(INDEX(fajok,,4),INDEX(fajok,,1),választott_faj),IF(AND(többes_kaszt=iker_kaszt,váltás_kezdet=1,választott_kaszt_1=$L76),SUMIFS(INDEX(kasztok,,44),INDEX(kasztok,,1),választott_kaszt_2),0))</f>
        <v>13</v>
      </c>
      <c r="BD76" s="17">
        <f t="shared" ref="BD76" si="155">MAX(SUMIFS(INDEX(dobások,,2),INDEX(dobások,,1),BZ76)+SUMIFS(INDEX(fajok,,5),INDEX(fajok,,1),választott_faj),IF(AND(többes_kaszt=iker_kaszt,váltás_kezdet=1,választott_kaszt_1=$L76),SUMIFS(INDEX(kasztok,,45),INDEX(kasztok,,1),választott_kaszt_2),0))</f>
        <v>13</v>
      </c>
      <c r="BE76" s="17">
        <f t="shared" ref="BE76" si="156">MAX(SUMIFS(INDEX(dobások,,2),INDEX(dobások,,1),CA76)+SUMIFS(INDEX(fajok,,6),INDEX(fajok,,1),választott_faj),IF(AND(többes_kaszt=iker_kaszt,váltás_kezdet=1,választott_kaszt_1=$L76),SUMIFS(INDEX(kasztok,,46),INDEX(kasztok,,1),választott_kaszt_2),0))</f>
        <v>14</v>
      </c>
      <c r="BF76" s="116">
        <f t="shared" ref="BF76" si="157">MAX(SUMIFS(INDEX(dobások,,2),INDEX(dobások,,1),CB76)+SUMIFS(INDEX(fajok,,7),INDEX(fajok,,1),választott_faj),IF(AND(többes_kaszt=iker_kaszt,váltás_kezdet=1,választott_kaszt_1=$L76),SUMIFS(INDEX(kasztok,,47),INDEX(kasztok,,1),választott_kaszt_2),0))</f>
        <v>16</v>
      </c>
      <c r="BG76" s="17">
        <f t="shared" ref="BG76" si="158">MAX(SUMIFS(INDEX(dobások,,2),INDEX(dobások,,1),CC76)+SUMIFS(INDEX(fajok,,8),INDEX(fajok,,1),választott_faj),IF(AND(többes_kaszt=iker_kaszt,váltás_kezdet=1,választott_kaszt_1=$L76),SUMIFS(INDEX(kasztok,,48),INDEX(kasztok,,1),választott_kaszt_2),0))</f>
        <v>11</v>
      </c>
      <c r="BH76" s="17">
        <f t="shared" ref="BH76" si="159">MAX(SUMIFS(INDEX(dobások,,2),INDEX(dobások,,1),CD76)+SUMIFS(INDEX(fajok,,9),INDEX(fajok,,1),választott_faj),IF(AND(többes_kaszt=iker_kaszt,váltás_kezdet=1,választott_kaszt_1=$L76),SUMIFS(INDEX(kasztok,,49),INDEX(kasztok,,1),választott_kaszt_2),0))</f>
        <v>11</v>
      </c>
      <c r="BI76" s="17">
        <f t="shared" ref="BI76" si="160">MAX(SUMIFS(INDEX(dobások,,2),INDEX(dobások,,1),CE76),IF(AND(többes_kaszt=iker_kaszt,váltás_kezdet=1,választott_kaszt_1=$L76),SUMIFS(INDEX(kasztok,,50),INDEX(kasztok,,1),választott_kaszt_2),0))</f>
        <v>13</v>
      </c>
      <c r="BJ76" s="17">
        <f t="shared" ref="BJ76" si="161">MAX(SUMIFS(INDEX(dobások,,2),INDEX(dobások,,1),CF76)+SUMIFS(INDEX(fajok,,10),INDEX(fajok,,1),választott_faj),IF(AND(többes_kaszt=iker_kaszt,váltás_kezdet=1,választott_kaszt_1=$L76),SUMIFS(INDEX(kasztok,,51),INDEX(kasztok,,1),választott_kaszt_2),0))</f>
        <v>11</v>
      </c>
      <c r="BK76" s="17">
        <f t="shared" ref="BK76" si="162">MAX(SUMIFS(INDEX(dobások,,2),INDEX(dobások,,1),CG76),IF(AND(többes_kaszt=iker_kaszt,váltás_kezdet=1,választott_kaszt_1=$L76),SUMIFS(INDEX(kasztok,,52),INDEX(kasztok,,1),választott_kaszt_2),0))</f>
        <v>13</v>
      </c>
      <c r="BL76" s="17">
        <f t="shared" si="98"/>
        <v>0</v>
      </c>
      <c r="BM76" s="13">
        <f t="shared" si="152"/>
        <v>0</v>
      </c>
      <c r="BN76" s="12" t="s">
        <v>262</v>
      </c>
      <c r="BO76" s="12" t="s">
        <v>262</v>
      </c>
      <c r="BP76" s="12" t="s">
        <v>262</v>
      </c>
      <c r="BQ76" s="12" t="s">
        <v>262</v>
      </c>
      <c r="BR76" s="12"/>
      <c r="BS76" s="12"/>
      <c r="BT76" s="12"/>
      <c r="BU76" s="12"/>
      <c r="BV76" s="12"/>
      <c r="BW76" s="51"/>
      <c r="BX76" s="12" t="s">
        <v>134</v>
      </c>
      <c r="BY76" s="12" t="s">
        <v>131</v>
      </c>
      <c r="BZ76" s="12" t="s">
        <v>131</v>
      </c>
      <c r="CA76" s="12" t="s">
        <v>132</v>
      </c>
      <c r="CB76" s="12" t="s">
        <v>135</v>
      </c>
      <c r="CC76" s="12" t="s">
        <v>129</v>
      </c>
      <c r="CD76" s="12" t="s">
        <v>129</v>
      </c>
      <c r="CE76" s="12" t="s">
        <v>131</v>
      </c>
      <c r="CF76" s="12" t="s">
        <v>129</v>
      </c>
      <c r="CG76" s="12" t="s">
        <v>131</v>
      </c>
      <c r="CH76" s="20">
        <v>1</v>
      </c>
      <c r="CI76" s="10">
        <v>18</v>
      </c>
      <c r="CJ76" s="148"/>
      <c r="CK76" s="63"/>
    </row>
    <row r="77" spans="1:89">
      <c r="A77" s="145" t="s">
        <v>277</v>
      </c>
      <c r="B77" s="200">
        <v>18</v>
      </c>
      <c r="C77" s="19">
        <v>18</v>
      </c>
      <c r="D77" s="19">
        <v>18</v>
      </c>
      <c r="E77" s="19">
        <v>18</v>
      </c>
      <c r="F77" s="19">
        <v>18</v>
      </c>
      <c r="G77" s="19">
        <v>18</v>
      </c>
      <c r="H77" s="19">
        <v>18</v>
      </c>
      <c r="I77" s="19">
        <v>18</v>
      </c>
      <c r="J77" s="19">
        <v>18</v>
      </c>
      <c r="K77" s="224">
        <v>18</v>
      </c>
      <c r="L77" s="265" t="s">
        <v>1007</v>
      </c>
      <c r="M77" s="34">
        <v>0</v>
      </c>
      <c r="N77" s="34">
        <v>208</v>
      </c>
      <c r="O77" s="34">
        <v>415</v>
      </c>
      <c r="P77" s="34">
        <v>909</v>
      </c>
      <c r="Q77" s="34">
        <v>1816</v>
      </c>
      <c r="R77" s="34">
        <v>3631</v>
      </c>
      <c r="S77" s="34">
        <v>7976</v>
      </c>
      <c r="T77" s="34">
        <v>13256</v>
      </c>
      <c r="U77" s="34">
        <v>26401</v>
      </c>
      <c r="V77" s="34">
        <v>52801</v>
      </c>
      <c r="W77" s="34">
        <v>74801</v>
      </c>
      <c r="X77" s="34">
        <v>123001</v>
      </c>
      <c r="Y77" s="34">
        <f>143001+MAX(0,SUMIFS(INDEX(választott_kasztok,,10),INDEX(választott_kasztok,,1),$L77)-13)*44000</f>
        <v>143001</v>
      </c>
      <c r="Z77" s="20">
        <v>10</v>
      </c>
      <c r="AA77" s="10">
        <v>20</v>
      </c>
      <c r="AB77" s="10">
        <v>75</v>
      </c>
      <c r="AC77" s="10">
        <v>0</v>
      </c>
      <c r="AD77" s="10">
        <f>MAX(12,SUMIFS(INDEX(választott_kasztok,,10),INDEX(választott_kasztok,,1),$L77)*12)</f>
        <v>12</v>
      </c>
      <c r="AE77" s="20">
        <f>MAX(6,SUMIFS(INDEX(választott_kasztok,,10),INDEX(választott_kasztok,,1),$L77)*6)</f>
        <v>6</v>
      </c>
      <c r="AF77" s="20">
        <f>MAX(0,SUMIFS(INDEX(választott_kasztok,,10),INDEX(választott_kasztok,,1),$L77)*0)</f>
        <v>0</v>
      </c>
      <c r="AG77" s="20">
        <f>IF(AND(többes_kaszt=iker_kaszt,váltás_kezdet=0,váltás_kezdet&lt;&gt;""),0,7)</f>
        <v>7</v>
      </c>
      <c r="AH77" s="20">
        <f>MAX(0,IF(választott_kaszt_1=$L77,IF(váltás_kezdet="",VLOOKUP($L77,választott_kasztok,10,FALSE)*8,MIN(VLOOKUP($L77,választott_kasztok,10,FALSE),váltás_kezdet)*8+IF(többes_kaszt=iker_kaszt,MAX(0,VLOOKUP($L77,választott_kasztok,10,FALSE)-váltás_kezdet),0)+IF(többes_kaszt=váltott_kaszt,MAX(0,váltás_kezdet-VLOOKUP($L77,választott_kasztok,10,FALSE))*8)),0)+IF(választott_kaszt_2=$L77,VLOOKUP($L77,választott_kasztok,10,FALSE)*IF(többes_kaszt=iker_kaszt,1,8),0))</f>
        <v>0</v>
      </c>
      <c r="AI77" s="10">
        <f>MAX(30,IF(AND(többes_kaszt=váltott_kaszt,választott_kaszt_1=$L77),váltás_kezdet*30,SUMIFS(INDEX(választott_kasztok,,10),INDEX(választott_kasztok,,1),$L77)*30))</f>
        <v>30</v>
      </c>
      <c r="AJ77" s="20">
        <v>8</v>
      </c>
      <c r="AK77" s="20">
        <v>8</v>
      </c>
      <c r="AL77" s="20">
        <f>MAX(1,SUMIFS(INDEX(választott_kasztok,,10),INDEX(választott_kasztok,,1),$L77))*(k6dobás+6)</f>
        <v>12</v>
      </c>
      <c r="AM77" s="20"/>
      <c r="AN77" s="20" t="s">
        <v>107</v>
      </c>
      <c r="AO77" s="208"/>
      <c r="AP77" s="33">
        <v>0</v>
      </c>
      <c r="AQ77" s="57">
        <v>50</v>
      </c>
      <c r="AR77" s="57">
        <v>25</v>
      </c>
      <c r="AS77" s="57">
        <v>30</v>
      </c>
      <c r="AT77" s="57">
        <v>25</v>
      </c>
      <c r="AU77" s="57">
        <v>20</v>
      </c>
      <c r="AV77" s="57"/>
      <c r="AW77" s="57"/>
      <c r="AX77" s="57"/>
      <c r="AY77" s="57"/>
      <c r="AZ77" s="57"/>
      <c r="BA77" s="117">
        <f>143001+MAX(0,váltás_kezdet-13)*44000</f>
        <v>143001</v>
      </c>
      <c r="BB77" s="116">
        <f t="shared" si="86"/>
        <v>18</v>
      </c>
      <c r="BC77" s="31">
        <f t="shared" si="87"/>
        <v>16</v>
      </c>
      <c r="BD77" s="31">
        <f t="shared" si="88"/>
        <v>16</v>
      </c>
      <c r="BE77" s="31">
        <f t="shared" si="89"/>
        <v>16</v>
      </c>
      <c r="BF77" s="116">
        <f t="shared" si="90"/>
        <v>16</v>
      </c>
      <c r="BG77" s="31">
        <f t="shared" si="91"/>
        <v>10</v>
      </c>
      <c r="BH77" s="31">
        <f t="shared" si="92"/>
        <v>11</v>
      </c>
      <c r="BI77" s="31">
        <f t="shared" si="93"/>
        <v>13</v>
      </c>
      <c r="BJ77" s="31">
        <f t="shared" si="94"/>
        <v>11</v>
      </c>
      <c r="BK77" s="31">
        <f t="shared" si="95"/>
        <v>14</v>
      </c>
      <c r="BL77" s="31">
        <f t="shared" ref="BL77" si="163">MAX(0,SUM(tulajdonságok)-SUM($BB77:$BK77))</f>
        <v>0</v>
      </c>
      <c r="BM77" s="200">
        <f t="shared" si="152"/>
        <v>0</v>
      </c>
      <c r="BN77" s="198"/>
      <c r="BO77" s="198" t="s">
        <v>262</v>
      </c>
      <c r="BP77" s="198" t="s">
        <v>262</v>
      </c>
      <c r="BQ77" s="198" t="s">
        <v>262</v>
      </c>
      <c r="BR77" s="198"/>
      <c r="BS77" s="198"/>
      <c r="BT77" s="198"/>
      <c r="BU77" s="198"/>
      <c r="BV77" s="198"/>
      <c r="BW77" s="199"/>
      <c r="BX77" s="198" t="s">
        <v>136</v>
      </c>
      <c r="BY77" s="12" t="s">
        <v>134</v>
      </c>
      <c r="BZ77" s="12" t="s">
        <v>134</v>
      </c>
      <c r="CA77" s="12" t="s">
        <v>134</v>
      </c>
      <c r="CB77" s="12" t="s">
        <v>135</v>
      </c>
      <c r="CC77" s="12" t="s">
        <v>128</v>
      </c>
      <c r="CD77" s="12" t="s">
        <v>129</v>
      </c>
      <c r="CE77" s="12" t="s">
        <v>131</v>
      </c>
      <c r="CF77" s="12" t="s">
        <v>129</v>
      </c>
      <c r="CG77" s="198" t="s">
        <v>132</v>
      </c>
      <c r="CH77" s="10">
        <v>3</v>
      </c>
      <c r="CI77" s="10">
        <v>18</v>
      </c>
      <c r="CJ77" s="148"/>
      <c r="CK77" s="63"/>
    </row>
    <row r="78" spans="1:89">
      <c r="A78" s="145" t="s">
        <v>278</v>
      </c>
      <c r="B78" s="200">
        <v>18</v>
      </c>
      <c r="C78" s="14">
        <v>18</v>
      </c>
      <c r="D78" s="14">
        <v>21</v>
      </c>
      <c r="E78" s="14">
        <v>18</v>
      </c>
      <c r="F78" s="14">
        <v>18</v>
      </c>
      <c r="G78" s="14">
        <v>18</v>
      </c>
      <c r="H78" s="14">
        <v>18</v>
      </c>
      <c r="I78" s="14">
        <v>18</v>
      </c>
      <c r="J78" s="14">
        <v>18</v>
      </c>
      <c r="K78" s="16">
        <v>18</v>
      </c>
      <c r="L78" s="266" t="s">
        <v>1002</v>
      </c>
      <c r="M78" s="33">
        <v>0</v>
      </c>
      <c r="N78" s="33">
        <v>181</v>
      </c>
      <c r="O78" s="33">
        <v>371</v>
      </c>
      <c r="P78" s="33">
        <v>801</v>
      </c>
      <c r="Q78" s="33">
        <v>1651</v>
      </c>
      <c r="R78" s="33">
        <v>3201</v>
      </c>
      <c r="S78" s="33">
        <v>6401</v>
      </c>
      <c r="T78" s="33">
        <v>12001</v>
      </c>
      <c r="U78" s="33">
        <v>25001</v>
      </c>
      <c r="V78" s="33">
        <v>45001</v>
      </c>
      <c r="W78" s="33">
        <v>65001</v>
      </c>
      <c r="X78" s="33">
        <v>90001</v>
      </c>
      <c r="Y78" s="34">
        <f>110001+MAX(0,SUMIFS(INDEX(választott_kasztok,,10),INDEX(választott_kasztok,,1),$L78)-13)*35000</f>
        <v>110001</v>
      </c>
      <c r="Z78" s="10">
        <v>5</v>
      </c>
      <c r="AA78" s="10">
        <v>20</v>
      </c>
      <c r="AB78" s="10">
        <v>75</v>
      </c>
      <c r="AC78" s="10">
        <v>0</v>
      </c>
      <c r="AD78" s="10">
        <f>MAX(12,SUMIFS(INDEX(választott_kasztok,,10),INDEX(választott_kasztok,,1),$L78)*12)</f>
        <v>12</v>
      </c>
      <c r="AE78" s="10">
        <f>MAX(5,SUMIFS(INDEX(választott_kasztok,,10),INDEX(választott_kasztok,,1),$L78)*5)</f>
        <v>5</v>
      </c>
      <c r="AF78" s="10">
        <f>MAX(5,SUMIFS(INDEX(választott_kasztok,,10),INDEX(választott_kasztok,,1),$L78)*5)</f>
        <v>5</v>
      </c>
      <c r="AG78" s="20">
        <f>IF(AND(többes_kaszt=iker_kaszt,váltás_kezdet=0,váltás_kezdet&lt;&gt;""),0,4)</f>
        <v>4</v>
      </c>
      <c r="AH78" s="10">
        <f>MAX(7,IF(választott_kaszt_1=$L78,IF(váltás_kezdet="",VLOOKUP($L78,választott_kasztok,10,FALSE)*7,MIN(VLOOKUP($L78,választott_kasztok,10,FALSE),váltás_kezdet)*7+IF(többes_kaszt=iker_kaszt,MAX(0,VLOOKUP($L78,választott_kasztok,10,FALSE)-váltás_kezdet),0)+IF(többes_kaszt=váltott_kaszt,MAX(0,váltás_kezdet-VLOOKUP($L78,választott_kasztok,10,FALSE))*7)),0)+IF(választott_kaszt_2=$L78,VLOOKUP($L78,választott_kasztok,10,FALSE)*IF(többes_kaszt=iker_kaszt,1,7),0))</f>
        <v>7</v>
      </c>
      <c r="AI78" s="10">
        <v>0</v>
      </c>
      <c r="AJ78" s="10">
        <v>7</v>
      </c>
      <c r="AK78" s="10">
        <v>6</v>
      </c>
      <c r="AL78" s="10">
        <f>MAX(1,SUMIFS(INDEX(választott_kasztok,,10),INDEX(választott_kasztok,,1),$L78))*(k6dobás+5)</f>
        <v>11</v>
      </c>
      <c r="AM78" s="10"/>
      <c r="AN78" s="20" t="s">
        <v>107</v>
      </c>
      <c r="AO78" s="208"/>
      <c r="AP78" s="33">
        <v>0</v>
      </c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117">
        <f>110001+MAX(0,váltás_kezdet-13)*35000</f>
        <v>110001</v>
      </c>
      <c r="BB78" s="17">
        <f t="shared" ref="BB78" si="164">MAX(SUMIFS(INDEX(dobások,,2),INDEX(dobások,,1),BX78)+SUMIFS(INDEX(fajok,,3),INDEX(fajok,,1),választott_faj),IF(AND(többes_kaszt=iker_kaszt,váltás_kezdet=1,választott_kaszt_1=$L78),SUMIFS(INDEX(kasztok,,43),INDEX(kasztok,,1),választott_kaszt_2),0))</f>
        <v>16</v>
      </c>
      <c r="BC78" s="17">
        <f t="shared" ref="BC78" si="165">MAX(SUMIFS(INDEX(dobások,,2),INDEX(dobások,,1),BY78)+SUMIFS(INDEX(fajok,,4),INDEX(fajok,,1),választott_faj),IF(AND(többes_kaszt=iker_kaszt,váltás_kezdet=1,választott_kaszt_1=$L78),SUMIFS(INDEX(kasztok,,44),INDEX(kasztok,,1),választott_kaszt_2),0))</f>
        <v>11</v>
      </c>
      <c r="BD78" s="17">
        <f t="shared" ref="BD78" si="166">MAX(SUMIFS(INDEX(dobások,,2),INDEX(dobások,,1),BZ78)+SUMIFS(INDEX(fajok,,5),INDEX(fajok,,1),választott_faj),IF(AND(többes_kaszt=iker_kaszt,váltás_kezdet=1,választott_kaszt_1=$L78),SUMIFS(INDEX(kasztok,,45),INDEX(kasztok,,1),választott_kaszt_2),0))</f>
        <v>11</v>
      </c>
      <c r="BE78" s="17">
        <f t="shared" ref="BE78" si="167">MAX(SUMIFS(INDEX(dobások,,2),INDEX(dobások,,1),CA78)+SUMIFS(INDEX(fajok,,6),INDEX(fajok,,1),választott_faj),IF(AND(többes_kaszt=iker_kaszt,váltás_kezdet=1,választott_kaszt_1=$L78),SUMIFS(INDEX(kasztok,,46),INDEX(kasztok,,1),választott_kaszt_2),0))</f>
        <v>14</v>
      </c>
      <c r="BF78" s="116">
        <f t="shared" ref="BF78" si="168">MAX(SUMIFS(INDEX(dobások,,2),INDEX(dobások,,1),CB78)+SUMIFS(INDEX(fajok,,7),INDEX(fajok,,1),választott_faj),IF(AND(többes_kaszt=iker_kaszt,váltás_kezdet=1,választott_kaszt_1=$L78),SUMIFS(INDEX(kasztok,,47),INDEX(kasztok,,1),választott_kaszt_2),0))</f>
        <v>16</v>
      </c>
      <c r="BG78" s="17">
        <f t="shared" ref="BG78" si="169">MAX(SUMIFS(INDEX(dobások,,2),INDEX(dobások,,1),CC78)+SUMIFS(INDEX(fajok,,8),INDEX(fajok,,1),választott_faj),IF(AND(többes_kaszt=iker_kaszt,váltás_kezdet=1,választott_kaszt_1=$L78),SUMIFS(INDEX(kasztok,,48),INDEX(kasztok,,1),választott_kaszt_2),0))</f>
        <v>13</v>
      </c>
      <c r="BH78" s="17">
        <f t="shared" ref="BH78" si="170">MAX(SUMIFS(INDEX(dobások,,2),INDEX(dobások,,1),CD78)+SUMIFS(INDEX(fajok,,9),INDEX(fajok,,1),választott_faj),IF(AND(többes_kaszt=iker_kaszt,váltás_kezdet=1,választott_kaszt_1=$L78),SUMIFS(INDEX(kasztok,,49),INDEX(kasztok,,1),választott_kaszt_2),0))</f>
        <v>13</v>
      </c>
      <c r="BI78" s="17">
        <f t="shared" ref="BI78" si="171">MAX(SUMIFS(INDEX(dobások,,2),INDEX(dobások,,1),CE78),IF(AND(többes_kaszt=iker_kaszt,váltás_kezdet=1,választott_kaszt_1=$L78),SUMIFS(INDEX(kasztok,,50),INDEX(kasztok,,1),választott_kaszt_2),0))</f>
        <v>14</v>
      </c>
      <c r="BJ78" s="17">
        <f t="shared" ref="BJ78" si="172">MAX(SUMIFS(INDEX(dobások,,2),INDEX(dobások,,1),CF78)+SUMIFS(INDEX(fajok,,10),INDEX(fajok,,1),választott_faj),IF(AND(többes_kaszt=iker_kaszt,váltás_kezdet=1,választott_kaszt_1=$L78),SUMIFS(INDEX(kasztok,,51),INDEX(kasztok,,1),választott_kaszt_2),0))</f>
        <v>11</v>
      </c>
      <c r="BK78" s="17">
        <f t="shared" ref="BK78" si="173">MAX(SUMIFS(INDEX(dobások,,2),INDEX(dobások,,1),CG78),IF(AND(többes_kaszt=iker_kaszt,váltás_kezdet=1,választott_kaszt_1=$L78),SUMIFS(INDEX(kasztok,,52),INDEX(kasztok,,1),választott_kaszt_2),0))</f>
        <v>13</v>
      </c>
      <c r="BL78" s="17">
        <f t="shared" si="98"/>
        <v>0</v>
      </c>
      <c r="BM78" s="13">
        <f t="shared" si="152"/>
        <v>0</v>
      </c>
      <c r="BN78" s="12" t="s">
        <v>262</v>
      </c>
      <c r="BO78" s="12"/>
      <c r="BP78" s="12"/>
      <c r="BQ78" s="12" t="s">
        <v>262</v>
      </c>
      <c r="BR78" s="12"/>
      <c r="BS78" s="12" t="s">
        <v>262</v>
      </c>
      <c r="BT78" s="12"/>
      <c r="BU78" s="12"/>
      <c r="BV78" s="12"/>
      <c r="BW78" s="51"/>
      <c r="BX78" s="12" t="s">
        <v>134</v>
      </c>
      <c r="BY78" s="12" t="s">
        <v>129</v>
      </c>
      <c r="BZ78" s="12" t="s">
        <v>129</v>
      </c>
      <c r="CA78" s="12" t="s">
        <v>132</v>
      </c>
      <c r="CB78" s="12" t="s">
        <v>135</v>
      </c>
      <c r="CC78" s="12" t="s">
        <v>131</v>
      </c>
      <c r="CD78" s="12" t="s">
        <v>131</v>
      </c>
      <c r="CE78" s="12" t="s">
        <v>132</v>
      </c>
      <c r="CF78" s="12" t="s">
        <v>129</v>
      </c>
      <c r="CG78" s="12" t="s">
        <v>131</v>
      </c>
      <c r="CH78" s="20">
        <v>1</v>
      </c>
      <c r="CI78" s="10">
        <v>12</v>
      </c>
      <c r="CJ78" s="148"/>
      <c r="CK78" s="63"/>
    </row>
    <row r="79" spans="1:89">
      <c r="A79" s="145" t="s">
        <v>249</v>
      </c>
      <c r="B79" s="200">
        <v>18</v>
      </c>
      <c r="C79" s="19">
        <v>22</v>
      </c>
      <c r="D79" s="19">
        <v>22</v>
      </c>
      <c r="E79" s="19">
        <v>21</v>
      </c>
      <c r="F79" s="19">
        <v>22</v>
      </c>
      <c r="G79" s="19">
        <v>23</v>
      </c>
      <c r="H79" s="19">
        <v>18</v>
      </c>
      <c r="I79" s="19">
        <v>17</v>
      </c>
      <c r="J79" s="19">
        <v>13</v>
      </c>
      <c r="K79" s="16">
        <v>18</v>
      </c>
      <c r="L79" s="10" t="s">
        <v>1012</v>
      </c>
      <c r="M79" s="34">
        <v>0</v>
      </c>
      <c r="N79" s="34">
        <v>171</v>
      </c>
      <c r="O79" s="34">
        <v>351</v>
      </c>
      <c r="P79" s="34">
        <v>701</v>
      </c>
      <c r="Q79" s="34">
        <v>1501</v>
      </c>
      <c r="R79" s="34">
        <v>3001</v>
      </c>
      <c r="S79" s="34">
        <v>7001</v>
      </c>
      <c r="T79" s="34">
        <v>12001</v>
      </c>
      <c r="U79" s="34">
        <v>22001</v>
      </c>
      <c r="V79" s="34">
        <v>50501</v>
      </c>
      <c r="W79" s="34">
        <v>85501</v>
      </c>
      <c r="X79" s="33">
        <v>135001</v>
      </c>
      <c r="Y79" s="34">
        <f>175501+MAX(0,SUMIFS(INDEX(választott_kasztok,,10),INDEX(választott_kasztok,,1),$L79)-13)*58500</f>
        <v>175501</v>
      </c>
      <c r="Z79" s="20">
        <v>6</v>
      </c>
      <c r="AA79" s="20">
        <v>17</v>
      </c>
      <c r="AB79" s="20">
        <v>72</v>
      </c>
      <c r="AC79" s="20">
        <v>0</v>
      </c>
      <c r="AD79" s="10">
        <f>MAX(6,SUMIFS(INDEX(választott_kasztok,,10),INDEX(választott_kasztok,,1),$L79)*6)</f>
        <v>6</v>
      </c>
      <c r="AE79" s="10">
        <f>MAX(1,SUMIFS(INDEX(választott_kasztok,,10),INDEX(választott_kasztok,,1),$L79)*1)</f>
        <v>1</v>
      </c>
      <c r="AF79" s="10">
        <f>MAX(1,SUMIFS(INDEX(választott_kasztok,,10),INDEX(választott_kasztok,,1),$L79)*1)</f>
        <v>1</v>
      </c>
      <c r="AG79" s="20">
        <f>IF(AND(többes_kaszt=iker_kaszt,váltás_kezdet=0,váltás_kezdet&lt;&gt;""),0,8)</f>
        <v>8</v>
      </c>
      <c r="AH79" s="10">
        <f>MAX(0,IF(választott_kaszt_1=$L79,IF(váltás_kezdet="",VLOOKUP($L79,választott_kasztok,10,FALSE)*8,MIN(VLOOKUP($L79,választott_kasztok,10,FALSE),váltás_kezdet)*8+IF(többes_kaszt=iker_kaszt,MAX(0,VLOOKUP($L79,választott_kasztok,10,FALSE)-váltás_kezdet),0)+IF(többes_kaszt=váltott_kaszt,MAX(0,váltás_kezdet-VLOOKUP($L79,választott_kasztok,10,FALSE))*8)),0)+IF(választott_kaszt_2=$L79,VLOOKUP($L79,választott_kasztok,10,FALSE)*IF(többes_kaszt=iker_kaszt,1,8),0))</f>
        <v>0</v>
      </c>
      <c r="AI79" s="10">
        <f>MAX(30,IF(AND(többes_kaszt=váltott_kaszt,választott_kaszt_1=$L79),váltás_kezdet*30,SUMIFS(INDEX(választott_kasztok,,10),INDEX(választott_kasztok,,1),$L79)*30))</f>
        <v>30</v>
      </c>
      <c r="AJ79" s="20">
        <v>4</v>
      </c>
      <c r="AK79" s="20">
        <v>4</v>
      </c>
      <c r="AL79" s="20">
        <f>MAX(1,SUMIFS(INDEX(választott_kasztok,,10),INDEX(választott_kasztok,,1),$L79))*(k6dobás+0)</f>
        <v>6</v>
      </c>
      <c r="AM79" s="10">
        <f>MAX(10,SUMIFS(INDEX(választott_kasztok,,10),INDEX(választott_kasztok,,1),$L79)*10)</f>
        <v>10</v>
      </c>
      <c r="AN79" s="20" t="str">
        <f>IF(OR(tanultAfTSZ&gt;0,tanultMfTSZ&gt;0),pyarroni,nincsen)</f>
        <v>nincs</v>
      </c>
      <c r="AO79" s="208" t="str">
        <f>IF(tanultMfkaszt=0,"00",IF(INDEX(választott_kasztok,tanultMfkaszt,1)=$L79,TEXT(tanultMfTSZ,"00"),"00"))&amp;IF(tanultAfkaszt=0,"00",IF(INDEX(választott_kasztok,tanultAfkaszt,1)=$L79,TEXT(tanultAfTSZ,"00"),"00"))&amp;"01"</f>
        <v>000001</v>
      </c>
      <c r="AP79" s="33">
        <v>0</v>
      </c>
      <c r="AQ79" s="57">
        <v>15</v>
      </c>
      <c r="AR79" s="57">
        <v>5</v>
      </c>
      <c r="AS79" s="57">
        <v>10</v>
      </c>
      <c r="AT79" s="57">
        <v>10</v>
      </c>
      <c r="AU79" s="57">
        <v>15</v>
      </c>
      <c r="AV79" s="57"/>
      <c r="AW79" s="57">
        <v>10</v>
      </c>
      <c r="AX79" s="57"/>
      <c r="AY79" s="57"/>
      <c r="AZ79" s="57"/>
      <c r="BA79" s="117">
        <f>175501+MAX(0,váltás_kezdet-13)*58500</f>
        <v>175501</v>
      </c>
      <c r="BB79" s="17">
        <f t="shared" ref="BB79" si="174">MAX(SUMIFS(INDEX(dobások,,2),INDEX(dobások,,1),BX79)+SUMIFS(INDEX(fajok,,3),INDEX(fajok,,1),választott_faj),IF(AND(többes_kaszt=iker_kaszt,váltás_kezdet=1,választott_kaszt_1=$L79),SUMIFS(INDEX(kasztok,,43),INDEX(kasztok,,1),választott_kaszt_2),0))</f>
        <v>10</v>
      </c>
      <c r="BC79" s="17">
        <f t="shared" ref="BC79" si="175">MAX(SUMIFS(INDEX(dobások,,2),INDEX(dobások,,1),BY79)+SUMIFS(INDEX(fajok,,4),INDEX(fajok,,1),választott_faj),IF(AND(többes_kaszt=iker_kaszt,váltás_kezdet=1,választott_kaszt_1=$L79),SUMIFS(INDEX(kasztok,,44),INDEX(kasztok,,1),választott_kaszt_2),0))</f>
        <v>13</v>
      </c>
      <c r="BD79" s="17">
        <f t="shared" ref="BD79" si="176">MAX(SUMIFS(INDEX(dobások,,2),INDEX(dobások,,1),BZ79)+SUMIFS(INDEX(fajok,,5),INDEX(fajok,,1),választott_faj),IF(AND(többes_kaszt=iker_kaszt,váltás_kezdet=1,választott_kaszt_1=$L79),SUMIFS(INDEX(kasztok,,45),INDEX(kasztok,,1),választott_kaszt_2),0))</f>
        <v>16</v>
      </c>
      <c r="BE79" s="17">
        <f t="shared" ref="BE79" si="177">MAX(SUMIFS(INDEX(dobások,,2),INDEX(dobások,,1),CA79)+SUMIFS(INDEX(fajok,,6),INDEX(fajok,,1),választott_faj),IF(AND(többes_kaszt=iker_kaszt,váltás_kezdet=1,választott_kaszt_1=$L79),SUMIFS(INDEX(kasztok,,46),INDEX(kasztok,,1),választott_kaszt_2),0))</f>
        <v>13</v>
      </c>
      <c r="BF79" s="31">
        <f t="shared" ref="BF79" si="178">MAX(SUMIFS(INDEX(dobások,,2),INDEX(dobások,,1),CB79)+SUMIFS(INDEX(fajok,,7),INDEX(fajok,,1),választott_faj),IF(AND(többes_kaszt=iker_kaszt,váltás_kezdet=1,választott_kaszt_1=$L79),SUMIFS(INDEX(kasztok,,47),INDEX(kasztok,,1),választott_kaszt_2),0))</f>
        <v>11</v>
      </c>
      <c r="BG79" s="17">
        <f t="shared" ref="BG79" si="179">MAX(SUMIFS(INDEX(dobások,,2),INDEX(dobások,,1),CC79)+SUMIFS(INDEX(fajok,,8),INDEX(fajok,,1),választott_faj),IF(AND(többes_kaszt=iker_kaszt,váltás_kezdet=1,választott_kaszt_1=$L79),SUMIFS(INDEX(kasztok,,48),INDEX(kasztok,,1),választott_kaszt_2),0))</f>
        <v>14</v>
      </c>
      <c r="BH79" s="17">
        <f t="shared" ref="BH79" si="180">MAX(SUMIFS(INDEX(dobások,,2),INDEX(dobások,,1),CD79)+SUMIFS(INDEX(fajok,,9),INDEX(fajok,,1),választott_faj),IF(AND(többes_kaszt=iker_kaszt,váltás_kezdet=1,választott_kaszt_1=$L79),SUMIFS(INDEX(kasztok,,49),INDEX(kasztok,,1),választott_kaszt_2),0))</f>
        <v>13</v>
      </c>
      <c r="BI79" s="17">
        <f t="shared" ref="BI79" si="181">MAX(SUMIFS(INDEX(dobások,,2),INDEX(dobások,,1),CE79),IF(AND(többes_kaszt=iker_kaszt,váltás_kezdet=1,választott_kaszt_1=$L79),SUMIFS(INDEX(kasztok,,50),INDEX(kasztok,,1),választott_kaszt_2),0))</f>
        <v>13</v>
      </c>
      <c r="BJ79" s="17">
        <f t="shared" ref="BJ79" si="182">MAX(SUMIFS(INDEX(dobások,,2),INDEX(dobások,,1),CF79)+SUMIFS(INDEX(fajok,,10),INDEX(fajok,,1),választott_faj),IF(AND(többes_kaszt=iker_kaszt,váltás_kezdet=1,választott_kaszt_1=$L79),SUMIFS(INDEX(kasztok,,51),INDEX(kasztok,,1),választott_kaszt_2),0))</f>
        <v>13</v>
      </c>
      <c r="BK79" s="17">
        <f t="shared" ref="BK79" si="183">MAX(SUMIFS(INDEX(dobások,,2),INDEX(dobások,,1),CG79),IF(AND(többes_kaszt=iker_kaszt,váltás_kezdet=1,választott_kaszt_1=$L79),SUMIFS(INDEX(kasztok,,52),INDEX(kasztok,,1),választott_kaszt_2),0))</f>
        <v>16</v>
      </c>
      <c r="BL79" s="17">
        <f t="shared" si="98"/>
        <v>0</v>
      </c>
      <c r="BM79" s="13">
        <f t="shared" ref="BM79" si="184">MAX(0,erő-(SUMIFS(INDEX(dobások,,4),INDEX(dobások,,1),BX79)+SUMIFS(INDEX(fajok,,3),INDEX(fajok,,1),választott_faj)))+MAX(0,gyorsaság-(SUMIFS(INDEX(dobások,,4),INDEX(dobások,,1),BY79)+SUMIFS(INDEX(fajok,,4),INDEX(fajok,,1),választott_faj)))+MAX(0,ügyesség-(SUMIFS(INDEX(dobások,,4),INDEX(dobások,,1),BZ79)+SUMIFS(INDEX(fajok,,5),INDEX(fajok,,1),választott_faj)))+MAX(0,állóképesség-(SUMIFS(INDEX(dobások,,4),INDEX(dobások,,1),CA79)+SUMIFS(INDEX(fajok,,6),INDEX(fajok,,1),választott_faj)))+MAX(0,egészség-(SUMIFS(INDEX(dobások,,4),INDEX(dobások,,1),CB79)+SUMIFS(INDEX(fajok,,7),INDEX(fajok,,1),választott_faj)))+MAX(0,szépség-(SUMIFS(INDEX(dobások,,4),INDEX(dobások,,1),CC79)+SUMIFS(INDEX(fajok,,8),INDEX(fajok,,1),választott_faj)))+MAX(0,intelligencia-(SUMIFS(INDEX(dobások,,4),INDEX(dobások,,1),CD79)+SUMIFS(INDEX(fajok,,9),INDEX(fajok,,1),választott_faj)))+MAX(0,akaraterő-SUMIFS(INDEX(dobások,,4),INDEX(dobások,,1),CE79))+MAX(0,asztrál-(SUMIFS(INDEX(dobások,,4),INDEX(dobások,,1),CF79)+SUMIFS(INDEX(fajok,,10),INDEX(fajok,,1),választott_faj)))+MAX(0,érzékelés-SUMIFS(INDEX(dobások,,4),INDEX(dobások,,1),CG79))</f>
        <v>0</v>
      </c>
      <c r="BN79" s="198"/>
      <c r="BO79" s="198"/>
      <c r="BP79" s="198" t="s">
        <v>262</v>
      </c>
      <c r="BQ79" s="198"/>
      <c r="BR79" s="198"/>
      <c r="BS79" s="198"/>
      <c r="BT79" s="198"/>
      <c r="BU79" s="198"/>
      <c r="BV79" s="198"/>
      <c r="BW79" s="199"/>
      <c r="BX79" s="198" t="s">
        <v>128</v>
      </c>
      <c r="BY79" s="12" t="s">
        <v>131</v>
      </c>
      <c r="BZ79" s="12" t="s">
        <v>134</v>
      </c>
      <c r="CA79" s="12" t="s">
        <v>131</v>
      </c>
      <c r="CB79" s="12" t="s">
        <v>129</v>
      </c>
      <c r="CC79" s="12" t="s">
        <v>132</v>
      </c>
      <c r="CD79" s="12" t="s">
        <v>131</v>
      </c>
      <c r="CE79" s="12" t="s">
        <v>131</v>
      </c>
      <c r="CF79" s="12" t="s">
        <v>131</v>
      </c>
      <c r="CG79" s="198" t="s">
        <v>134</v>
      </c>
      <c r="CH79" s="20">
        <v>1</v>
      </c>
      <c r="CI79" s="10">
        <v>18</v>
      </c>
      <c r="CJ79" s="148"/>
      <c r="CK79" s="63"/>
    </row>
    <row r="80" spans="1:89">
      <c r="A80" s="145" t="s">
        <v>985</v>
      </c>
      <c r="B80" s="200">
        <v>18</v>
      </c>
      <c r="C80" s="19">
        <v>17</v>
      </c>
      <c r="D80" s="19">
        <v>18</v>
      </c>
      <c r="E80" s="19">
        <v>18</v>
      </c>
      <c r="F80" s="19">
        <v>17</v>
      </c>
      <c r="G80" s="19">
        <v>17</v>
      </c>
      <c r="H80" s="19">
        <v>19</v>
      </c>
      <c r="I80" s="19">
        <v>19</v>
      </c>
      <c r="J80" s="19">
        <v>19</v>
      </c>
      <c r="K80" s="16">
        <v>18</v>
      </c>
      <c r="L80" s="261" t="s">
        <v>311</v>
      </c>
      <c r="M80" s="33">
        <v>0</v>
      </c>
      <c r="N80" s="33">
        <v>161</v>
      </c>
      <c r="O80" s="33">
        <v>321</v>
      </c>
      <c r="P80" s="33">
        <v>641</v>
      </c>
      <c r="Q80" s="33">
        <v>1441</v>
      </c>
      <c r="R80" s="34">
        <v>2801</v>
      </c>
      <c r="S80" s="33">
        <v>5601</v>
      </c>
      <c r="T80" s="33">
        <v>10001</v>
      </c>
      <c r="U80" s="33">
        <v>20001</v>
      </c>
      <c r="V80" s="33">
        <v>40001</v>
      </c>
      <c r="W80" s="33">
        <v>60001</v>
      </c>
      <c r="X80" s="33">
        <v>80001</v>
      </c>
      <c r="Y80" s="34">
        <f>112001+MAX(0,SUMIFS(INDEX(választott_kasztok,,10),INDEX(választott_kasztok,,1),$L80)-13)*31200</f>
        <v>112001</v>
      </c>
      <c r="Z80" s="10">
        <v>9</v>
      </c>
      <c r="AA80" s="10">
        <v>20</v>
      </c>
      <c r="AB80" s="10">
        <v>75</v>
      </c>
      <c r="AC80" s="10">
        <v>25</v>
      </c>
      <c r="AD80" s="10">
        <f>MAX(11,SUMIFS(INDEX(választott_kasztok,,10),INDEX(választott_kasztok,,1),$L80)*11)</f>
        <v>11</v>
      </c>
      <c r="AE80" s="10">
        <f t="shared" ref="AE80:AF88" si="185">MAX(3,SUMIFS(INDEX(választott_kasztok,,10),INDEX(választott_kasztok,,1),$L80)*3)</f>
        <v>3</v>
      </c>
      <c r="AF80" s="10">
        <f t="shared" si="185"/>
        <v>3</v>
      </c>
      <c r="AG80" s="20">
        <f>IF(AND(többes_kaszt=iker_kaszt,váltás_kezdet=0,váltás_kezdet&lt;&gt;""),0,5)</f>
        <v>5</v>
      </c>
      <c r="AH80" s="10">
        <f>MAX(0,IF(választott_kaszt_1=$L80,IF(váltás_kezdet="",VLOOKUP($L80,választott_kasztok,10,FALSE)*7,MIN(VLOOKUP($L80,választott_kasztok,10,FALSE),váltás_kezdet)*7+IF(többes_kaszt=iker_kaszt,MAX(0,VLOOKUP($L80,választott_kasztok,10,FALSE)-váltás_kezdet),0)+IF(többes_kaszt=váltott_kaszt,MAX(0,váltás_kezdet-VLOOKUP($L80,választott_kasztok,10,FALSE))*7)),0)+IF(választott_kaszt_2=$L80,VLOOKUP($L80,választott_kasztok,10,FALSE)*IF(többes_kaszt=iker_kaszt,1,7),0))</f>
        <v>0</v>
      </c>
      <c r="AI80" s="10">
        <v>0</v>
      </c>
      <c r="AJ80" s="10">
        <v>7</v>
      </c>
      <c r="AK80" s="10">
        <v>6</v>
      </c>
      <c r="AL80" s="10">
        <f>MAX(1,SUMIFS(INDEX(választott_kasztok,,10),INDEX(választott_kasztok,,1),$L80))*(k6dobás+4)</f>
        <v>10</v>
      </c>
      <c r="AM80" s="10"/>
      <c r="AN80" s="20" t="str">
        <f>IF(OR(tanultAfTSZ&gt;0,tanultMfTSZ&gt;0),pyarroni,nincsen)</f>
        <v>nincs</v>
      </c>
      <c r="AO80" s="208" t="str">
        <f>IF(tanultMfkaszt=0,"00",IF(INDEX(választott_kasztok,tanultMfkaszt,1)=$L80,TEXT(tanultMfTSZ,"00"),"00"))&amp;IF(tanultAfkaszt=0,"00",IF(INDEX(választott_kasztok,tanultAfkaszt,1)=$L80,TEXT(tanultAfTSZ,"00"),"00"))&amp;"01"</f>
        <v>000001</v>
      </c>
      <c r="AP80" s="33">
        <v>0</v>
      </c>
      <c r="AQ80" s="56">
        <v>15</v>
      </c>
      <c r="AR80" s="56">
        <v>20</v>
      </c>
      <c r="AS80" s="56">
        <v>10</v>
      </c>
      <c r="AT80" s="56"/>
      <c r="AU80" s="56"/>
      <c r="AV80" s="56"/>
      <c r="AW80" s="56"/>
      <c r="AX80" s="56"/>
      <c r="AY80" s="56"/>
      <c r="AZ80" s="56"/>
      <c r="BA80" s="117">
        <f>112001+MAX(0,váltás_kezdet-13)*31200</f>
        <v>112001</v>
      </c>
      <c r="BB80" s="17">
        <f t="shared" si="86"/>
        <v>16</v>
      </c>
      <c r="BC80" s="17">
        <f t="shared" si="87"/>
        <v>13</v>
      </c>
      <c r="BD80" s="17">
        <f t="shared" si="88"/>
        <v>13</v>
      </c>
      <c r="BE80" s="17">
        <f t="shared" si="89"/>
        <v>14</v>
      </c>
      <c r="BF80" s="116">
        <f t="shared" si="90"/>
        <v>16</v>
      </c>
      <c r="BG80" s="17">
        <f t="shared" si="91"/>
        <v>11</v>
      </c>
      <c r="BH80" s="17">
        <f t="shared" si="92"/>
        <v>11</v>
      </c>
      <c r="BI80" s="17">
        <f t="shared" si="93"/>
        <v>13</v>
      </c>
      <c r="BJ80" s="17">
        <f t="shared" si="94"/>
        <v>11</v>
      </c>
      <c r="BK80" s="17">
        <f t="shared" si="95"/>
        <v>13</v>
      </c>
      <c r="BL80" s="17">
        <f t="shared" si="98"/>
        <v>0</v>
      </c>
      <c r="BM80" s="13">
        <f t="shared" si="96"/>
        <v>0</v>
      </c>
      <c r="BN80" s="12" t="s">
        <v>262</v>
      </c>
      <c r="BO80" s="12" t="s">
        <v>262</v>
      </c>
      <c r="BP80" s="12" t="s">
        <v>262</v>
      </c>
      <c r="BQ80" s="12" t="s">
        <v>262</v>
      </c>
      <c r="BR80" s="12"/>
      <c r="BS80" s="12"/>
      <c r="BT80" s="12"/>
      <c r="BU80" s="12"/>
      <c r="BV80" s="12"/>
      <c r="BW80" s="51"/>
      <c r="BX80" s="12" t="s">
        <v>134</v>
      </c>
      <c r="BY80" s="12" t="s">
        <v>131</v>
      </c>
      <c r="BZ80" s="12" t="s">
        <v>131</v>
      </c>
      <c r="CA80" s="12" t="s">
        <v>132</v>
      </c>
      <c r="CB80" s="12" t="s">
        <v>135</v>
      </c>
      <c r="CC80" s="12" t="s">
        <v>129</v>
      </c>
      <c r="CD80" s="12" t="s">
        <v>129</v>
      </c>
      <c r="CE80" s="12" t="s">
        <v>131</v>
      </c>
      <c r="CF80" s="12" t="s">
        <v>129</v>
      </c>
      <c r="CG80" s="12" t="s">
        <v>131</v>
      </c>
      <c r="CH80" s="10">
        <v>3</v>
      </c>
      <c r="CI80" s="10">
        <v>18</v>
      </c>
      <c r="CJ80" s="148"/>
      <c r="CK80" s="63"/>
    </row>
    <row r="81" spans="1:89">
      <c r="A81" s="145" t="s">
        <v>280</v>
      </c>
      <c r="B81" s="200">
        <v>18</v>
      </c>
      <c r="C81" s="14">
        <v>21</v>
      </c>
      <c r="D81" s="14">
        <v>18</v>
      </c>
      <c r="E81" s="14">
        <v>18</v>
      </c>
      <c r="F81" s="14">
        <v>21</v>
      </c>
      <c r="G81" s="14">
        <v>21</v>
      </c>
      <c r="H81" s="14">
        <v>15</v>
      </c>
      <c r="I81" s="14">
        <v>18</v>
      </c>
      <c r="J81" s="14">
        <v>16</v>
      </c>
      <c r="K81" s="16">
        <v>18</v>
      </c>
      <c r="L81" s="20" t="s">
        <v>312</v>
      </c>
      <c r="M81" s="34">
        <v>0</v>
      </c>
      <c r="N81" s="34">
        <v>161</v>
      </c>
      <c r="O81" s="34">
        <v>331</v>
      </c>
      <c r="P81" s="34">
        <v>661</v>
      </c>
      <c r="Q81" s="34">
        <v>1301</v>
      </c>
      <c r="R81" s="34">
        <v>2601</v>
      </c>
      <c r="S81" s="34">
        <v>5001</v>
      </c>
      <c r="T81" s="34">
        <v>9001</v>
      </c>
      <c r="U81" s="34">
        <v>23001</v>
      </c>
      <c r="V81" s="34">
        <v>50001</v>
      </c>
      <c r="W81" s="34">
        <v>90001</v>
      </c>
      <c r="X81" s="34">
        <v>130001</v>
      </c>
      <c r="Y81" s="34">
        <f>165001+MAX(0,SUMIFS(INDEX(választott_kasztok,,10),INDEX(választott_kasztok,,1),$L81)-13)*50000</f>
        <v>165001</v>
      </c>
      <c r="Z81" s="20">
        <v>5</v>
      </c>
      <c r="AA81" s="20">
        <v>17</v>
      </c>
      <c r="AB81" s="20">
        <v>72</v>
      </c>
      <c r="AC81" s="20">
        <v>0</v>
      </c>
      <c r="AD81" s="10">
        <f>MAX(8,SUMIFS(INDEX(választott_kasztok,,10),INDEX(választott_kasztok,,1),$L81)*8)</f>
        <v>8</v>
      </c>
      <c r="AE81" s="10">
        <f t="shared" si="185"/>
        <v>3</v>
      </c>
      <c r="AF81" s="10">
        <f t="shared" si="185"/>
        <v>3</v>
      </c>
      <c r="AG81" s="20">
        <f>IF(AND(többes_kaszt=iker_kaszt,váltás_kezdet=0,váltás_kezdet&lt;&gt;""),0,6)</f>
        <v>6</v>
      </c>
      <c r="AH81" s="10">
        <f>MAX(0,IF(választott_kaszt_1=$L81,IF(váltás_kezdet="",VLOOKUP($L81,választott_kasztok,10,FALSE)*10,MIN(VLOOKUP($L81,választott_kasztok,10,FALSE),váltás_kezdet)*10+IF(többes_kaszt=iker_kaszt,MAX(0,VLOOKUP($L81,választott_kasztok,10,FALSE)-váltás_kezdet),0)+IF(többes_kaszt=váltott_kaszt,MAX(0,váltás_kezdet-VLOOKUP($L81,választott_kasztok,10,FALSE))*10)),0)+IF(választott_kaszt_2=$L81,VLOOKUP($L81,választott_kasztok,10,FALSE)*IF(többes_kaszt=iker_kaszt,1,10),0))</f>
        <v>0</v>
      </c>
      <c r="AI81" s="20">
        <v>0</v>
      </c>
      <c r="AJ81" s="20">
        <v>6</v>
      </c>
      <c r="AK81" s="20">
        <v>6</v>
      </c>
      <c r="AL81" s="10">
        <f>MAX(1,SUMIFS(INDEX(választott_kasztok,,10),INDEX(választott_kasztok,,1),$L81))*(k6dobás+2)</f>
        <v>8</v>
      </c>
      <c r="AM81" s="10">
        <f>MAX(8,SUMIFS(INDEX(választott_kasztok,,10),INDEX(választott_kasztok,,1),$L81)*8)</f>
        <v>8</v>
      </c>
      <c r="AN81" s="20" t="s">
        <v>1183</v>
      </c>
      <c r="AO81" s="209"/>
      <c r="AP81" s="34">
        <v>0</v>
      </c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117">
        <f>165001+MAX(0,váltás_kezdet-13)*50000</f>
        <v>165001</v>
      </c>
      <c r="BB81" s="31">
        <f t="shared" si="86"/>
        <v>13</v>
      </c>
      <c r="BC81" s="31">
        <f t="shared" si="87"/>
        <v>11</v>
      </c>
      <c r="BD81" s="31">
        <f t="shared" si="88"/>
        <v>11</v>
      </c>
      <c r="BE81" s="31">
        <f t="shared" si="89"/>
        <v>13</v>
      </c>
      <c r="BF81" s="31">
        <f t="shared" si="90"/>
        <v>14</v>
      </c>
      <c r="BG81" s="116">
        <f t="shared" si="91"/>
        <v>16</v>
      </c>
      <c r="BH81" s="31">
        <f t="shared" si="92"/>
        <v>14</v>
      </c>
      <c r="BI81" s="31">
        <f t="shared" si="93"/>
        <v>14</v>
      </c>
      <c r="BJ81" s="31">
        <f t="shared" si="94"/>
        <v>16</v>
      </c>
      <c r="BK81" s="31">
        <f t="shared" si="95"/>
        <v>14</v>
      </c>
      <c r="BL81" s="31">
        <f t="shared" si="98"/>
        <v>0</v>
      </c>
      <c r="BM81" s="13">
        <f t="shared" si="96"/>
        <v>0</v>
      </c>
      <c r="BN81" s="12"/>
      <c r="BO81" s="12"/>
      <c r="BP81" s="12"/>
      <c r="BQ81" s="12"/>
      <c r="BR81" s="12"/>
      <c r="BS81" s="12"/>
      <c r="BT81" s="12"/>
      <c r="BU81" s="12" t="s">
        <v>262</v>
      </c>
      <c r="BV81" s="12" t="s">
        <v>262</v>
      </c>
      <c r="BW81" s="51"/>
      <c r="BX81" s="12" t="s">
        <v>131</v>
      </c>
      <c r="BY81" s="12" t="s">
        <v>129</v>
      </c>
      <c r="BZ81" s="12" t="s">
        <v>129</v>
      </c>
      <c r="CA81" s="12" t="s">
        <v>131</v>
      </c>
      <c r="CB81" s="12" t="s">
        <v>132</v>
      </c>
      <c r="CC81" s="12" t="s">
        <v>135</v>
      </c>
      <c r="CD81" s="12" t="s">
        <v>132</v>
      </c>
      <c r="CE81" s="12" t="s">
        <v>132</v>
      </c>
      <c r="CF81" s="12" t="s">
        <v>134</v>
      </c>
      <c r="CG81" s="12" t="s">
        <v>132</v>
      </c>
      <c r="CH81" s="10">
        <v>3</v>
      </c>
      <c r="CI81" s="10">
        <v>6</v>
      </c>
      <c r="CJ81" s="148"/>
      <c r="CK81" s="63"/>
    </row>
    <row r="82" spans="1:89">
      <c r="A82" s="145" t="s">
        <v>279</v>
      </c>
      <c r="B82" s="200">
        <v>18</v>
      </c>
      <c r="C82" s="14">
        <v>22</v>
      </c>
      <c r="D82" s="14">
        <v>18</v>
      </c>
      <c r="E82" s="14">
        <v>18</v>
      </c>
      <c r="F82" s="14">
        <v>21</v>
      </c>
      <c r="G82" s="14">
        <v>22</v>
      </c>
      <c r="H82" s="14">
        <v>13</v>
      </c>
      <c r="I82" s="14">
        <v>16</v>
      </c>
      <c r="J82" s="14">
        <v>15</v>
      </c>
      <c r="K82" s="16">
        <v>18</v>
      </c>
      <c r="L82" s="10" t="s">
        <v>41</v>
      </c>
      <c r="M82" s="33">
        <v>0</v>
      </c>
      <c r="N82" s="33">
        <v>201</v>
      </c>
      <c r="O82" s="33">
        <v>401</v>
      </c>
      <c r="P82" s="33">
        <v>926</v>
      </c>
      <c r="Q82" s="33">
        <v>1901</v>
      </c>
      <c r="R82" s="33">
        <v>4001</v>
      </c>
      <c r="S82" s="33">
        <v>8251</v>
      </c>
      <c r="T82" s="33">
        <v>15501</v>
      </c>
      <c r="U82" s="33">
        <v>31001</v>
      </c>
      <c r="V82" s="33">
        <v>62501</v>
      </c>
      <c r="W82" s="33">
        <v>115001</v>
      </c>
      <c r="X82" s="33">
        <v>165001</v>
      </c>
      <c r="Y82" s="34">
        <f>230001+MAX(0,SUMIFS(INDEX(választott_kasztok,,10),INDEX(választott_kasztok,,1),$L82)-13)*62000</f>
        <v>230001</v>
      </c>
      <c r="Z82" s="20">
        <v>10</v>
      </c>
      <c r="AA82" s="20">
        <v>20</v>
      </c>
      <c r="AB82" s="20">
        <v>75</v>
      </c>
      <c r="AC82" s="20">
        <v>0</v>
      </c>
      <c r="AD82" s="10">
        <f>MAX(8,SUMIFS(INDEX(választott_kasztok,,10),INDEX(választott_kasztok,,1),$L82)*8)</f>
        <v>8</v>
      </c>
      <c r="AE82" s="10">
        <f t="shared" si="185"/>
        <v>3</v>
      </c>
      <c r="AF82" s="10">
        <f t="shared" si="185"/>
        <v>3</v>
      </c>
      <c r="AG82" s="20">
        <f>IF(AND(többes_kaszt=iker_kaszt,váltás_kezdet=0,váltás_kezdet&lt;&gt;""),0,4)</f>
        <v>4</v>
      </c>
      <c r="AH82" s="10">
        <f>MAX(0,IF(választott_kaszt_1=$L82,IF(váltás_kezdet="",VLOOKUP($L82,választott_kasztok,10,FALSE)*5,MIN(VLOOKUP($L82,választott_kasztok,10,FALSE),váltás_kezdet)*5+IF(többes_kaszt=iker_kaszt,MAX(0,VLOOKUP($L82,választott_kasztok,10,FALSE)-váltás_kezdet),0)+IF(többes_kaszt=váltott_kaszt,MAX(0,váltás_kezdet-VLOOKUP($L82,választott_kasztok,10,FALSE))*5)),0)+IF(választott_kaszt_2=$L82,VLOOKUP($L82,választott_kasztok,10,FALSE)*IF(többes_kaszt=iker_kaszt,1,5),0))</f>
        <v>0</v>
      </c>
      <c r="AI82" s="10">
        <f>MAX(18,IF(AND(többes_kaszt=váltott_kaszt,választott_kaszt_1=$L82),váltás_kezdet*18,SUMIFS(INDEX(választott_kasztok,,10),INDEX(választott_kasztok,,1),$L82)*18))</f>
        <v>18</v>
      </c>
      <c r="AJ82" s="20">
        <v>4</v>
      </c>
      <c r="AK82" s="20">
        <v>8</v>
      </c>
      <c r="AL82" s="10">
        <f>MAX(1,SUMIFS(INDEX(választott_kasztok,,10),INDEX(választott_kasztok,,1),$L82))*(k6dobás+5)</f>
        <v>11</v>
      </c>
      <c r="AM82" s="10"/>
      <c r="AN82" s="20" t="s">
        <v>97</v>
      </c>
      <c r="AO82" s="208"/>
      <c r="AP82" s="33">
        <v>0</v>
      </c>
      <c r="AQ82" s="56">
        <v>10</v>
      </c>
      <c r="AR82" s="56">
        <v>20</v>
      </c>
      <c r="AS82" s="56">
        <v>10</v>
      </c>
      <c r="AT82" s="56"/>
      <c r="AU82" s="56"/>
      <c r="AV82" s="56"/>
      <c r="AW82" s="56"/>
      <c r="AX82" s="56"/>
      <c r="AY82" s="56"/>
      <c r="AZ82" s="56"/>
      <c r="BA82" s="117">
        <f>230001+MAX(0,váltás_kezdet-13)*62000</f>
        <v>230001</v>
      </c>
      <c r="BB82" s="17">
        <f t="shared" si="86"/>
        <v>14</v>
      </c>
      <c r="BC82" s="17">
        <f t="shared" si="87"/>
        <v>16</v>
      </c>
      <c r="BD82" s="116">
        <f t="shared" si="88"/>
        <v>18</v>
      </c>
      <c r="BE82" s="17">
        <f t="shared" si="89"/>
        <v>14</v>
      </c>
      <c r="BF82" s="17">
        <f t="shared" si="90"/>
        <v>14</v>
      </c>
      <c r="BG82" s="17">
        <f t="shared" si="91"/>
        <v>11</v>
      </c>
      <c r="BH82" s="17">
        <f t="shared" si="92"/>
        <v>13</v>
      </c>
      <c r="BI82" s="17">
        <f t="shared" si="93"/>
        <v>16</v>
      </c>
      <c r="BJ82" s="17">
        <f t="shared" si="94"/>
        <v>14</v>
      </c>
      <c r="BK82" s="17">
        <f t="shared" si="95"/>
        <v>16</v>
      </c>
      <c r="BL82" s="17">
        <f t="shared" si="98"/>
        <v>0</v>
      </c>
      <c r="BM82" s="13">
        <f t="shared" si="96"/>
        <v>0</v>
      </c>
      <c r="BN82" s="12"/>
      <c r="BO82" s="12" t="s">
        <v>262</v>
      </c>
      <c r="BP82" s="12"/>
      <c r="BQ82" s="12"/>
      <c r="BR82" s="12"/>
      <c r="BS82" s="12"/>
      <c r="BT82" s="12"/>
      <c r="BU82" s="12"/>
      <c r="BV82" s="12"/>
      <c r="BW82" s="51"/>
      <c r="BX82" s="12" t="s">
        <v>132</v>
      </c>
      <c r="BY82" s="12" t="s">
        <v>134</v>
      </c>
      <c r="BZ82" s="12" t="s">
        <v>136</v>
      </c>
      <c r="CA82" s="12" t="s">
        <v>132</v>
      </c>
      <c r="CB82" s="12" t="s">
        <v>132</v>
      </c>
      <c r="CC82" s="12" t="s">
        <v>129</v>
      </c>
      <c r="CD82" s="12" t="s">
        <v>131</v>
      </c>
      <c r="CE82" s="12" t="s">
        <v>134</v>
      </c>
      <c r="CF82" s="12" t="s">
        <v>132</v>
      </c>
      <c r="CG82" s="12" t="s">
        <v>134</v>
      </c>
      <c r="CH82" s="20">
        <v>1</v>
      </c>
      <c r="CI82" s="10">
        <v>6</v>
      </c>
      <c r="CJ82" s="148"/>
      <c r="CK82" s="63"/>
    </row>
    <row r="83" spans="1:89" ht="15.75" thickBot="1">
      <c r="A83" s="146" t="s">
        <v>281</v>
      </c>
      <c r="B83" s="225">
        <v>18</v>
      </c>
      <c r="C83" s="26">
        <v>18</v>
      </c>
      <c r="D83" s="26">
        <v>18</v>
      </c>
      <c r="E83" s="26">
        <v>18</v>
      </c>
      <c r="F83" s="26">
        <v>18</v>
      </c>
      <c r="G83" s="26">
        <v>18</v>
      </c>
      <c r="H83" s="26">
        <v>21</v>
      </c>
      <c r="I83" s="26">
        <v>21</v>
      </c>
      <c r="J83" s="26">
        <v>18</v>
      </c>
      <c r="K83" s="27">
        <v>18</v>
      </c>
      <c r="L83" s="261" t="s">
        <v>1155</v>
      </c>
      <c r="M83" s="33">
        <v>0</v>
      </c>
      <c r="N83" s="33">
        <v>161</v>
      </c>
      <c r="O83" s="33">
        <v>321</v>
      </c>
      <c r="P83" s="33">
        <v>641</v>
      </c>
      <c r="Q83" s="33">
        <v>1441</v>
      </c>
      <c r="R83" s="34">
        <v>2801</v>
      </c>
      <c r="S83" s="33">
        <v>5601</v>
      </c>
      <c r="T83" s="33">
        <v>10001</v>
      </c>
      <c r="U83" s="33">
        <v>20001</v>
      </c>
      <c r="V83" s="33">
        <v>40001</v>
      </c>
      <c r="W83" s="33">
        <v>60001</v>
      </c>
      <c r="X83" s="33">
        <v>80001</v>
      </c>
      <c r="Y83" s="34">
        <f>112001+MAX(0,SUMIFS(INDEX(választott_kasztok,,10),INDEX(választott_kasztok,,1),$L83)-13)*31200</f>
        <v>112001</v>
      </c>
      <c r="Z83" s="10">
        <v>9</v>
      </c>
      <c r="AA83" s="10">
        <v>20</v>
      </c>
      <c r="AB83" s="10">
        <v>75</v>
      </c>
      <c r="AC83" s="10">
        <v>5</v>
      </c>
      <c r="AD83" s="10">
        <f>MAX(11,SUMIFS(INDEX(választott_kasztok,,10),INDEX(választott_kasztok,,1),$L83)*11)</f>
        <v>11</v>
      </c>
      <c r="AE83" s="10">
        <f>MAX(2,SUMIFS(INDEX(választott_kasztok,,10),INDEX(választott_kasztok,,1),$L83)*2)</f>
        <v>2</v>
      </c>
      <c r="AF83" s="10">
        <f>MAX(2,SUMIFS(INDEX(választott_kasztok,,10),INDEX(választott_kasztok,,1),$L83)*2)</f>
        <v>2</v>
      </c>
      <c r="AG83" s="20">
        <f>IF(AND(többes_kaszt=iker_kaszt,váltás_kezdet=0,váltás_kezdet&lt;&gt;""),0,8)</f>
        <v>8</v>
      </c>
      <c r="AH83" s="10">
        <f>MAX(0,IF(választott_kaszt_1=$L83,IF(váltás_kezdet="",VLOOKUP($L83,választott_kasztok,10,FALSE)*14,MIN(VLOOKUP($L83,választott_kasztok,10,FALSE),váltás_kezdet)*14+IF(többes_kaszt=iker_kaszt,MAX(0,VLOOKUP($L83,választott_kasztok,10,FALSE)-váltás_kezdet),0)+IF(többes_kaszt=váltott_kaszt,MAX(0,váltás_kezdet-VLOOKUP($L83,választott_kasztok,10,FALSE))*14)),0)+IF(választott_kaszt_2=$L83,VLOOKUP($L83,választott_kasztok,10,FALSE)*IF(többes_kaszt=iker_kaszt,1,14),0))</f>
        <v>0</v>
      </c>
      <c r="AI83" s="10">
        <f>MAX(10,IF(AND(többes_kaszt=váltott_kaszt,választott_kaszt_1=$L83),váltás_kezdet*10,SUMIFS(INDEX(választott_kasztok,,10),INDEX(választott_kasztok,,1),$L83)*10))</f>
        <v>10</v>
      </c>
      <c r="AJ83" s="10">
        <v>7</v>
      </c>
      <c r="AK83" s="10">
        <v>6</v>
      </c>
      <c r="AL83" s="10">
        <f>MAX(1,SUMIFS(INDEX(választott_kasztok,,10),INDEX(választott_kasztok,,1),$L83))*(k6dobás+4)</f>
        <v>10</v>
      </c>
      <c r="AM83" s="10"/>
      <c r="AN83" s="20" t="str">
        <f>IF(OR(tanultAfTSZ&gt;0,tanultMfTSZ&gt;0),pyarroni,nincsen)</f>
        <v>nincs</v>
      </c>
      <c r="AO83" s="208" t="str">
        <f>IF(tanultMfkaszt=0,"00",IF(INDEX(választott_kasztok,tanultMfkaszt,1)=$L83,TEXT(tanultMfTSZ,"00"),"00"))&amp;IF(tanultAfkaszt=0,"00",IF(INDEX(választott_kasztok,tanultAfkaszt,1)=$L83,TEXT(tanultAfTSZ,"00"),"00"))&amp;"01"</f>
        <v>000001</v>
      </c>
      <c r="AP83" s="33">
        <v>0</v>
      </c>
      <c r="AQ83" s="56">
        <v>35</v>
      </c>
      <c r="AR83" s="56">
        <v>20</v>
      </c>
      <c r="AS83" s="56">
        <v>10</v>
      </c>
      <c r="AT83" s="56"/>
      <c r="AU83" s="56"/>
      <c r="AV83" s="56">
        <v>20</v>
      </c>
      <c r="AW83" s="56"/>
      <c r="AX83" s="56"/>
      <c r="AY83" s="56"/>
      <c r="AZ83" s="56"/>
      <c r="BA83" s="117">
        <f>112001+MAX(0,váltás_kezdet-13)*31200</f>
        <v>112001</v>
      </c>
      <c r="BB83" s="17">
        <f t="shared" ref="BB83" si="186">MAX(SUMIFS(INDEX(dobások,,2),INDEX(dobások,,1),BX83)+SUMIFS(INDEX(fajok,,3),INDEX(fajok,,1),választott_faj),IF(AND(többes_kaszt=iker_kaszt,váltás_kezdet=1,választott_kaszt_1=$L83),SUMIFS(INDEX(kasztok,,43),INDEX(kasztok,,1),választott_kaszt_2),0))</f>
        <v>16</v>
      </c>
      <c r="BC83" s="17">
        <f t="shared" ref="BC83" si="187">MAX(SUMIFS(INDEX(dobások,,2),INDEX(dobások,,1),BY83)+SUMIFS(INDEX(fajok,,4),INDEX(fajok,,1),választott_faj),IF(AND(többes_kaszt=iker_kaszt,váltás_kezdet=1,választott_kaszt_1=$L83),SUMIFS(INDEX(kasztok,,44),INDEX(kasztok,,1),választott_kaszt_2),0))</f>
        <v>13</v>
      </c>
      <c r="BD83" s="17">
        <f t="shared" ref="BD83" si="188">MAX(SUMIFS(INDEX(dobások,,2),INDEX(dobások,,1),BZ83)+SUMIFS(INDEX(fajok,,5),INDEX(fajok,,1),választott_faj),IF(AND(többes_kaszt=iker_kaszt,váltás_kezdet=1,választott_kaszt_1=$L83),SUMIFS(INDEX(kasztok,,45),INDEX(kasztok,,1),választott_kaszt_2),0))</f>
        <v>13</v>
      </c>
      <c r="BE83" s="17">
        <f t="shared" ref="BE83" si="189">MAX(SUMIFS(INDEX(dobások,,2),INDEX(dobások,,1),CA83)+SUMIFS(INDEX(fajok,,6),INDEX(fajok,,1),választott_faj),IF(AND(többes_kaszt=iker_kaszt,váltás_kezdet=1,választott_kaszt_1=$L83),SUMIFS(INDEX(kasztok,,46),INDEX(kasztok,,1),választott_kaszt_2),0))</f>
        <v>16</v>
      </c>
      <c r="BF83" s="116">
        <f t="shared" ref="BF83" si="190">MAX(SUMIFS(INDEX(dobások,,2),INDEX(dobások,,1),CB83)+SUMIFS(INDEX(fajok,,7),INDEX(fajok,,1),választott_faj),IF(AND(többes_kaszt=iker_kaszt,váltás_kezdet=1,választott_kaszt_1=$L83),SUMIFS(INDEX(kasztok,,47),INDEX(kasztok,,1),választott_kaszt_2),0))</f>
        <v>16</v>
      </c>
      <c r="BG83" s="17">
        <f t="shared" ref="BG83" si="191">MAX(SUMIFS(INDEX(dobások,,2),INDEX(dobások,,1),CC83)+SUMIFS(INDEX(fajok,,8),INDEX(fajok,,1),választott_faj),IF(AND(többes_kaszt=iker_kaszt,váltás_kezdet=1,választott_kaszt_1=$L83),SUMIFS(INDEX(kasztok,,48),INDEX(kasztok,,1),választott_kaszt_2),0))</f>
        <v>11</v>
      </c>
      <c r="BH83" s="17">
        <f t="shared" ref="BH83" si="192">MAX(SUMIFS(INDEX(dobások,,2),INDEX(dobások,,1),CD83)+SUMIFS(INDEX(fajok,,9),INDEX(fajok,,1),választott_faj),IF(AND(többes_kaszt=iker_kaszt,váltás_kezdet=1,választott_kaszt_1=$L83),SUMIFS(INDEX(kasztok,,49),INDEX(kasztok,,1),választott_kaszt_2),0))</f>
        <v>11</v>
      </c>
      <c r="BI83" s="17">
        <f t="shared" ref="BI83" si="193">MAX(SUMIFS(INDEX(dobások,,2),INDEX(dobások,,1),CE83),IF(AND(többes_kaszt=iker_kaszt,váltás_kezdet=1,választott_kaszt_1=$L83),SUMIFS(INDEX(kasztok,,50),INDEX(kasztok,,1),választott_kaszt_2),0))</f>
        <v>13</v>
      </c>
      <c r="BJ83" s="17">
        <f t="shared" ref="BJ83" si="194">MAX(SUMIFS(INDEX(dobások,,2),INDEX(dobások,,1),CF83)+SUMIFS(INDEX(fajok,,10),INDEX(fajok,,1),választott_faj),IF(AND(többes_kaszt=iker_kaszt,váltás_kezdet=1,választott_kaszt_1=$L83),SUMIFS(INDEX(kasztok,,51),INDEX(kasztok,,1),választott_kaszt_2),0))</f>
        <v>11</v>
      </c>
      <c r="BK83" s="17">
        <f t="shared" ref="BK83" si="195">MAX(SUMIFS(INDEX(dobások,,2),INDEX(dobások,,1),CG83),IF(AND(többes_kaszt=iker_kaszt,váltás_kezdet=1,választott_kaszt_1=$L83),SUMIFS(INDEX(kasztok,,52),INDEX(kasztok,,1),választott_kaszt_2),0))</f>
        <v>13</v>
      </c>
      <c r="BL83" s="17">
        <f t="shared" si="98"/>
        <v>0</v>
      </c>
      <c r="BM83" s="13">
        <f t="shared" ref="BM83" si="196">MAX(0,erő-(SUMIFS(INDEX(dobások,,4),INDEX(dobások,,1),BX83)+SUMIFS(INDEX(fajok,,3),INDEX(fajok,,1),választott_faj)))+MAX(0,gyorsaság-(SUMIFS(INDEX(dobások,,4),INDEX(dobások,,1),BY83)+SUMIFS(INDEX(fajok,,4),INDEX(fajok,,1),választott_faj)))+MAX(0,ügyesség-(SUMIFS(INDEX(dobások,,4),INDEX(dobások,,1),BZ83)+SUMIFS(INDEX(fajok,,5),INDEX(fajok,,1),választott_faj)))+MAX(0,állóképesség-(SUMIFS(INDEX(dobások,,4),INDEX(dobások,,1),CA83)+SUMIFS(INDEX(fajok,,6),INDEX(fajok,,1),választott_faj)))+MAX(0,egészség-(SUMIFS(INDEX(dobások,,4),INDEX(dobások,,1),CB83)+SUMIFS(INDEX(fajok,,7),INDEX(fajok,,1),választott_faj)))+MAX(0,szépség-(SUMIFS(INDEX(dobások,,4),INDEX(dobások,,1),CC83)+SUMIFS(INDEX(fajok,,8),INDEX(fajok,,1),választott_faj)))+MAX(0,intelligencia-(SUMIFS(INDEX(dobások,,4),INDEX(dobások,,1),CD83)+SUMIFS(INDEX(fajok,,9),INDEX(fajok,,1),választott_faj)))+MAX(0,akaraterő-SUMIFS(INDEX(dobások,,4),INDEX(dobások,,1),CE83))+MAX(0,asztrál-(SUMIFS(INDEX(dobások,,4),INDEX(dobások,,1),CF83)+SUMIFS(INDEX(fajok,,10),INDEX(fajok,,1),választott_faj)))+MAX(0,érzékelés-SUMIFS(INDEX(dobások,,4),INDEX(dobások,,1),CG83))</f>
        <v>0</v>
      </c>
      <c r="BN83" s="12" t="s">
        <v>262</v>
      </c>
      <c r="BO83" s="12" t="s">
        <v>262</v>
      </c>
      <c r="BP83" s="12" t="s">
        <v>262</v>
      </c>
      <c r="BQ83" s="12" t="s">
        <v>262</v>
      </c>
      <c r="BR83" s="12"/>
      <c r="BS83" s="12"/>
      <c r="BT83" s="12"/>
      <c r="BU83" s="12"/>
      <c r="BV83" s="12"/>
      <c r="BW83" s="51"/>
      <c r="BX83" s="12" t="s">
        <v>134</v>
      </c>
      <c r="BY83" s="12" t="s">
        <v>131</v>
      </c>
      <c r="BZ83" s="12" t="s">
        <v>131</v>
      </c>
      <c r="CA83" s="12" t="s">
        <v>134</v>
      </c>
      <c r="CB83" s="12" t="s">
        <v>135</v>
      </c>
      <c r="CC83" s="12" t="s">
        <v>129</v>
      </c>
      <c r="CD83" s="12" t="s">
        <v>129</v>
      </c>
      <c r="CE83" s="12" t="s">
        <v>131</v>
      </c>
      <c r="CF83" s="12" t="s">
        <v>129</v>
      </c>
      <c r="CG83" s="12" t="s">
        <v>131</v>
      </c>
      <c r="CH83" s="10">
        <v>3</v>
      </c>
      <c r="CI83" s="10">
        <v>18</v>
      </c>
      <c r="CJ83" s="148"/>
      <c r="CK83" s="63"/>
    </row>
    <row r="84" spans="1:89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 t="s">
        <v>313</v>
      </c>
      <c r="M84" s="34">
        <v>0</v>
      </c>
      <c r="N84" s="34">
        <v>161</v>
      </c>
      <c r="O84" s="34">
        <v>331</v>
      </c>
      <c r="P84" s="34">
        <v>661</v>
      </c>
      <c r="Q84" s="34">
        <v>1301</v>
      </c>
      <c r="R84" s="34">
        <v>2601</v>
      </c>
      <c r="S84" s="34">
        <v>5001</v>
      </c>
      <c r="T84" s="34">
        <v>9001</v>
      </c>
      <c r="U84" s="34">
        <v>23001</v>
      </c>
      <c r="V84" s="34">
        <v>50001</v>
      </c>
      <c r="W84" s="34">
        <v>90001</v>
      </c>
      <c r="X84" s="34">
        <v>130001</v>
      </c>
      <c r="Y84" s="34">
        <f>165001+MAX(0,SUMIFS(INDEX(választott_kasztok,,10),INDEX(választott_kasztok,,1),$L84)-13)*50000</f>
        <v>165001</v>
      </c>
      <c r="Z84" s="20">
        <v>5</v>
      </c>
      <c r="AA84" s="20">
        <v>17</v>
      </c>
      <c r="AB84" s="20">
        <v>72</v>
      </c>
      <c r="AC84" s="20">
        <v>0</v>
      </c>
      <c r="AD84" s="10">
        <f>MAX(8,SUMIFS(INDEX(választott_kasztok,,10),INDEX(választott_kasztok,,1),$L84)*8)</f>
        <v>8</v>
      </c>
      <c r="AE84" s="10">
        <f t="shared" si="185"/>
        <v>3</v>
      </c>
      <c r="AF84" s="10">
        <f t="shared" si="185"/>
        <v>3</v>
      </c>
      <c r="AG84" s="20">
        <f>IF(AND(többes_kaszt=iker_kaszt,váltás_kezdet=0,váltás_kezdet&lt;&gt;""),0,6)</f>
        <v>6</v>
      </c>
      <c r="AH84" s="10">
        <f>MAX(0,IF(választott_kaszt_1=$L84,IF(váltás_kezdet="",VLOOKUP($L84,választott_kasztok,10,FALSE)*10,MIN(VLOOKUP($L84,választott_kasztok,10,FALSE),váltás_kezdet)*10+IF(többes_kaszt=iker_kaszt,MAX(0,VLOOKUP($L84,választott_kasztok,10,FALSE)-váltás_kezdet),0)+IF(többes_kaszt=váltott_kaszt,MAX(0,váltás_kezdet-VLOOKUP($L84,választott_kasztok,10,FALSE))*10)),0)+IF(választott_kaszt_2=$L84,VLOOKUP($L84,választott_kasztok,10,FALSE)*IF(többes_kaszt=iker_kaszt,1,10),0))</f>
        <v>0</v>
      </c>
      <c r="AI84" s="20">
        <v>0</v>
      </c>
      <c r="AJ84" s="20">
        <v>6</v>
      </c>
      <c r="AK84" s="20">
        <v>6</v>
      </c>
      <c r="AL84" s="10">
        <f>MAX(1,SUMIFS(INDEX(választott_kasztok,,10),INDEX(választott_kasztok,,1),$L84))*(k6dobás+2)</f>
        <v>8</v>
      </c>
      <c r="AM84" s="10">
        <f>MAX(9,MIN(1,SUMIFS(INDEX(választott_kasztok,,10),INDEX(választott_kasztok,,1),$L84))*9+MAX(0,SUMIFS(INDEX(választott_kasztok,,10),INDEX(választott_kasztok,,1),$L84)-1)*(6+ROUNDUP(k6dobás/2,0)))</f>
        <v>9</v>
      </c>
      <c r="AN84" s="20" t="s">
        <v>1183</v>
      </c>
      <c r="AO84" s="209"/>
      <c r="AP84" s="33">
        <v>0</v>
      </c>
      <c r="AQ84" s="56"/>
      <c r="AR84" s="56"/>
      <c r="AS84" s="56"/>
      <c r="AT84" s="56"/>
      <c r="AU84" s="56"/>
      <c r="AV84" s="56"/>
      <c r="AW84" s="56"/>
      <c r="AX84" s="56">
        <v>10</v>
      </c>
      <c r="AY84" s="56"/>
      <c r="AZ84" s="56">
        <v>10</v>
      </c>
      <c r="BA84" s="117">
        <f>165001+MAX(0,váltás_kezdet-13)*50000</f>
        <v>165001</v>
      </c>
      <c r="BB84" s="17">
        <f t="shared" si="86"/>
        <v>13</v>
      </c>
      <c r="BC84" s="17">
        <f t="shared" si="87"/>
        <v>11</v>
      </c>
      <c r="BD84" s="17">
        <f t="shared" si="88"/>
        <v>11</v>
      </c>
      <c r="BE84" s="17">
        <f t="shared" si="89"/>
        <v>13</v>
      </c>
      <c r="BF84" s="17">
        <f t="shared" si="90"/>
        <v>14</v>
      </c>
      <c r="BG84" s="116">
        <f t="shared" si="91"/>
        <v>16</v>
      </c>
      <c r="BH84" s="17">
        <f t="shared" si="92"/>
        <v>14</v>
      </c>
      <c r="BI84" s="17">
        <f t="shared" si="93"/>
        <v>14</v>
      </c>
      <c r="BJ84" s="17">
        <f t="shared" si="94"/>
        <v>16</v>
      </c>
      <c r="BK84" s="17">
        <f t="shared" si="95"/>
        <v>14</v>
      </c>
      <c r="BL84" s="17">
        <f t="shared" si="98"/>
        <v>0</v>
      </c>
      <c r="BM84" s="13">
        <f t="shared" si="96"/>
        <v>0</v>
      </c>
      <c r="BN84" s="12"/>
      <c r="BO84" s="12"/>
      <c r="BP84" s="12"/>
      <c r="BQ84" s="12"/>
      <c r="BR84" s="12"/>
      <c r="BS84" s="12"/>
      <c r="BT84" s="12"/>
      <c r="BU84" s="12" t="s">
        <v>262</v>
      </c>
      <c r="BV84" s="12" t="s">
        <v>262</v>
      </c>
      <c r="BW84" s="51"/>
      <c r="BX84" s="12" t="s">
        <v>131</v>
      </c>
      <c r="BY84" s="12" t="s">
        <v>129</v>
      </c>
      <c r="BZ84" s="12" t="s">
        <v>129</v>
      </c>
      <c r="CA84" s="12" t="s">
        <v>131</v>
      </c>
      <c r="CB84" s="12" t="s">
        <v>132</v>
      </c>
      <c r="CC84" s="12" t="s">
        <v>135</v>
      </c>
      <c r="CD84" s="12" t="s">
        <v>132</v>
      </c>
      <c r="CE84" s="12" t="s">
        <v>132</v>
      </c>
      <c r="CF84" s="12" t="s">
        <v>134</v>
      </c>
      <c r="CG84" s="12" t="s">
        <v>132</v>
      </c>
      <c r="CH84" s="10">
        <v>3</v>
      </c>
      <c r="CI84" s="10">
        <v>6</v>
      </c>
      <c r="CJ84" s="148"/>
      <c r="CK84" s="63"/>
    </row>
    <row r="85" spans="1:89" ht="15.75" thickBo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20" t="s">
        <v>314</v>
      </c>
      <c r="M85" s="34">
        <v>0</v>
      </c>
      <c r="N85" s="34">
        <v>176</v>
      </c>
      <c r="O85" s="34">
        <v>353</v>
      </c>
      <c r="P85" s="34">
        <v>721</v>
      </c>
      <c r="Q85" s="34">
        <v>1501</v>
      </c>
      <c r="R85" s="34">
        <v>3501</v>
      </c>
      <c r="S85" s="34">
        <v>7001</v>
      </c>
      <c r="T85" s="34">
        <v>10501</v>
      </c>
      <c r="U85" s="34">
        <v>21001</v>
      </c>
      <c r="V85" s="34">
        <v>48001</v>
      </c>
      <c r="W85" s="34">
        <v>78001</v>
      </c>
      <c r="X85" s="34">
        <v>108001</v>
      </c>
      <c r="Y85" s="34">
        <f>138001+MAX(0,SUMIFS(INDEX(választott_kasztok,,10),INDEX(választott_kasztok,,1),$L85)-13)*38000</f>
        <v>138001</v>
      </c>
      <c r="Z85" s="20">
        <v>5</v>
      </c>
      <c r="AA85" s="20">
        <v>20</v>
      </c>
      <c r="AB85" s="20">
        <v>75</v>
      </c>
      <c r="AC85" s="20">
        <v>0</v>
      </c>
      <c r="AD85" s="10">
        <f>MAX(9,SUMIFS(INDEX(választott_kasztok,,10),INDEX(választott_kasztok,,1),$L85)*9)</f>
        <v>9</v>
      </c>
      <c r="AE85" s="10">
        <f t="shared" si="185"/>
        <v>3</v>
      </c>
      <c r="AF85" s="10">
        <f t="shared" si="185"/>
        <v>3</v>
      </c>
      <c r="AG85" s="20">
        <f>IF(AND(többes_kaszt=iker_kaszt,váltás_kezdet=0,váltás_kezdet&lt;&gt;""),0,5)</f>
        <v>5</v>
      </c>
      <c r="AH85" s="10">
        <f>MAX(0,IF(választott_kaszt_1=$L85,IF(váltás_kezdet="",VLOOKUP($L85,választott_kasztok,10,FALSE)*5,MIN(VLOOKUP($L85,választott_kasztok,10,FALSE),váltás_kezdet)*5+IF(többes_kaszt=iker_kaszt,MAX(0,VLOOKUP($L85,választott_kasztok,10,FALSE)-váltás_kezdet),0)+IF(többes_kaszt=váltott_kaszt,MAX(0,váltás_kezdet-VLOOKUP($L85,választott_kasztok,10,FALSE))*5)),0)+IF(választott_kaszt_2=$L85,VLOOKUP($L85,választott_kasztok,10,FALSE)*IF(többes_kaszt=iker_kaszt,1,5),0))</f>
        <v>0</v>
      </c>
      <c r="AI85" s="20">
        <v>0</v>
      </c>
      <c r="AJ85" s="20">
        <v>8</v>
      </c>
      <c r="AK85" s="20">
        <v>7</v>
      </c>
      <c r="AL85" s="10">
        <f>MAX(1,SUMIFS(INDEX(választott_kasztok,,10),INDEX(választott_kasztok,,1),$L85))*(k6dobás+5)</f>
        <v>11</v>
      </c>
      <c r="AM85" s="10">
        <f>MAX(9,MIN(1,SUMIFS(INDEX(választott_kasztok,,10),INDEX(választott_kasztok,,1),$L85))*9+MAX(0,SUMIFS(INDEX(választott_kasztok,,10),INDEX(választott_kasztok,,1),$L85)-1)*(6+ROUNDUP(k6dobás/2,0)))</f>
        <v>9</v>
      </c>
      <c r="AN85" s="20" t="s">
        <v>1183</v>
      </c>
      <c r="AO85" s="209"/>
      <c r="AP85" s="34">
        <v>0</v>
      </c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117">
        <f>138001+MAX(0,váltás_kezdet-13)*38000</f>
        <v>138001</v>
      </c>
      <c r="BB85" s="17">
        <f t="shared" si="86"/>
        <v>14</v>
      </c>
      <c r="BC85" s="17">
        <f t="shared" si="87"/>
        <v>11</v>
      </c>
      <c r="BD85" s="17">
        <f t="shared" si="88"/>
        <v>11</v>
      </c>
      <c r="BE85" s="17">
        <f t="shared" si="89"/>
        <v>14</v>
      </c>
      <c r="BF85" s="116">
        <f t="shared" si="90"/>
        <v>16</v>
      </c>
      <c r="BG85" s="17">
        <f t="shared" si="91"/>
        <v>14</v>
      </c>
      <c r="BH85" s="17">
        <f t="shared" si="92"/>
        <v>13</v>
      </c>
      <c r="BI85" s="17">
        <f t="shared" si="93"/>
        <v>14</v>
      </c>
      <c r="BJ85" s="17">
        <f t="shared" si="94"/>
        <v>16</v>
      </c>
      <c r="BK85" s="17">
        <f t="shared" si="95"/>
        <v>14</v>
      </c>
      <c r="BL85" s="17">
        <f t="shared" si="98"/>
        <v>0</v>
      </c>
      <c r="BM85" s="13">
        <f t="shared" si="96"/>
        <v>0</v>
      </c>
      <c r="BN85" s="12" t="s">
        <v>262</v>
      </c>
      <c r="BO85" s="12"/>
      <c r="BP85" s="12"/>
      <c r="BQ85" s="12"/>
      <c r="BR85" s="12"/>
      <c r="BS85" s="12"/>
      <c r="BT85" s="12"/>
      <c r="BU85" s="12"/>
      <c r="BV85" s="12"/>
      <c r="BW85" s="51"/>
      <c r="BX85" s="12" t="s">
        <v>132</v>
      </c>
      <c r="BY85" s="12" t="s">
        <v>129</v>
      </c>
      <c r="BZ85" s="12" t="s">
        <v>129</v>
      </c>
      <c r="CA85" s="12" t="s">
        <v>132</v>
      </c>
      <c r="CB85" s="12" t="s">
        <v>135</v>
      </c>
      <c r="CC85" s="12" t="s">
        <v>132</v>
      </c>
      <c r="CD85" s="12" t="s">
        <v>131</v>
      </c>
      <c r="CE85" s="12" t="s">
        <v>132</v>
      </c>
      <c r="CF85" s="12" t="s">
        <v>134</v>
      </c>
      <c r="CG85" s="12" t="s">
        <v>132</v>
      </c>
      <c r="CH85" s="10">
        <v>3</v>
      </c>
      <c r="CI85" s="10">
        <v>6</v>
      </c>
      <c r="CJ85" s="148"/>
      <c r="CK85" s="63"/>
    </row>
    <row r="86" spans="1:89" ht="15.75">
      <c r="A86" s="616" t="s">
        <v>687</v>
      </c>
      <c r="B86" s="637"/>
      <c r="C86" s="637"/>
      <c r="D86" s="637"/>
      <c r="E86" s="637"/>
      <c r="F86" s="637"/>
      <c r="G86" s="637"/>
      <c r="H86" s="637"/>
      <c r="I86" s="637"/>
      <c r="J86" s="637"/>
      <c r="K86" s="617"/>
      <c r="L86" s="261" t="s">
        <v>315</v>
      </c>
      <c r="M86" s="33">
        <v>0</v>
      </c>
      <c r="N86" s="33">
        <v>161</v>
      </c>
      <c r="O86" s="33">
        <v>321</v>
      </c>
      <c r="P86" s="33">
        <v>641</v>
      </c>
      <c r="Q86" s="33">
        <v>1441</v>
      </c>
      <c r="R86" s="34">
        <v>2801</v>
      </c>
      <c r="S86" s="33">
        <v>5601</v>
      </c>
      <c r="T86" s="33">
        <v>10001</v>
      </c>
      <c r="U86" s="33">
        <v>20001</v>
      </c>
      <c r="V86" s="33">
        <v>40001</v>
      </c>
      <c r="W86" s="33">
        <v>60001</v>
      </c>
      <c r="X86" s="33">
        <v>80001</v>
      </c>
      <c r="Y86" s="34">
        <f>112001+MAX(0,SUMIFS(INDEX(választott_kasztok,,10),INDEX(választott_kasztok,,1),$L86)-13)*31200</f>
        <v>112001</v>
      </c>
      <c r="Z86" s="10">
        <v>9</v>
      </c>
      <c r="AA86" s="10">
        <v>20</v>
      </c>
      <c r="AB86" s="10">
        <v>75</v>
      </c>
      <c r="AC86" s="10">
        <v>0</v>
      </c>
      <c r="AD86" s="10">
        <f>MAX(11,SUMIFS(INDEX(választott_kasztok,,10),INDEX(választott_kasztok,,1),$L86)*11)</f>
        <v>11</v>
      </c>
      <c r="AE86" s="10">
        <f t="shared" si="185"/>
        <v>3</v>
      </c>
      <c r="AF86" s="10">
        <f t="shared" si="185"/>
        <v>3</v>
      </c>
      <c r="AG86" s="20">
        <f>IF(AND(többes_kaszt=iker_kaszt,váltás_kezdet=0,váltás_kezdet&lt;&gt;""),0,6)</f>
        <v>6</v>
      </c>
      <c r="AH86" s="10">
        <f>MAX(8,IF(választott_kaszt_1=$L86,IF(váltás_kezdet="",VLOOKUP($L86,választott_kasztok,10,FALSE)*8,MIN(VLOOKUP($L86,választott_kasztok,10,FALSE),váltás_kezdet)*8+IF(többes_kaszt=iker_kaszt,MAX(0,VLOOKUP($L86,választott_kasztok,10,FALSE)-váltás_kezdet),0)+IF(többes_kaszt=váltott_kaszt,MAX(0,váltás_kezdet-VLOOKUP($L86,választott_kasztok,10,FALSE))*8)),0)+IF(választott_kaszt_2=$L86,VLOOKUP($L86,választott_kasztok,10,FALSE)*IF(többes_kaszt=iker_kaszt,1,8),0))</f>
        <v>8</v>
      </c>
      <c r="AI86" s="10">
        <v>0</v>
      </c>
      <c r="AJ86" s="10">
        <v>7</v>
      </c>
      <c r="AK86" s="10">
        <v>6</v>
      </c>
      <c r="AL86" s="10">
        <f>MAX(1,SUMIFS(INDEX(választott_kasztok,,10),INDEX(választott_kasztok,,1),$L86))*(k6dobás+4)</f>
        <v>10</v>
      </c>
      <c r="AM86" s="10"/>
      <c r="AN86" s="20" t="str">
        <f>IF(OR(tanultAfTSZ&gt;0,tanultMfTSZ&gt;0),pyarroni,nincsen)</f>
        <v>nincs</v>
      </c>
      <c r="AO86" s="208" t="str">
        <f>IF(tanultMfkaszt=0,"00",IF(INDEX(választott_kasztok,tanultMfkaszt,1)=$L86,TEXT(tanultMfTSZ,"00"),"00"))&amp;IF(tanultAfkaszt=0,"00",IF(INDEX(választott_kasztok,tanultAfkaszt,1)=$L86,TEXT(tanultAfTSZ,"00"),"00"))&amp;"01"</f>
        <v>000001</v>
      </c>
      <c r="AP86" s="33">
        <v>0</v>
      </c>
      <c r="AQ86" s="56">
        <v>15</v>
      </c>
      <c r="AR86" s="56">
        <v>20</v>
      </c>
      <c r="AS86" s="56">
        <v>10</v>
      </c>
      <c r="AT86" s="56"/>
      <c r="AU86" s="56"/>
      <c r="AV86" s="56"/>
      <c r="AW86" s="56"/>
      <c r="AX86" s="56"/>
      <c r="AY86" s="56"/>
      <c r="AZ86" s="56"/>
      <c r="BA86" s="117">
        <f>112001+MAX(0,váltás_kezdet-13)*31200</f>
        <v>112001</v>
      </c>
      <c r="BB86" s="17">
        <f t="shared" si="86"/>
        <v>16</v>
      </c>
      <c r="BC86" s="17">
        <f t="shared" si="87"/>
        <v>13</v>
      </c>
      <c r="BD86" s="17">
        <f t="shared" si="88"/>
        <v>13</v>
      </c>
      <c r="BE86" s="17">
        <f t="shared" si="89"/>
        <v>14</v>
      </c>
      <c r="BF86" s="116">
        <f t="shared" si="90"/>
        <v>16</v>
      </c>
      <c r="BG86" s="17">
        <f t="shared" si="91"/>
        <v>11</v>
      </c>
      <c r="BH86" s="17">
        <f t="shared" si="92"/>
        <v>11</v>
      </c>
      <c r="BI86" s="17">
        <f t="shared" si="93"/>
        <v>13</v>
      </c>
      <c r="BJ86" s="17">
        <f t="shared" si="94"/>
        <v>11</v>
      </c>
      <c r="BK86" s="17">
        <f t="shared" si="95"/>
        <v>13</v>
      </c>
      <c r="BL86" s="17">
        <f t="shared" si="98"/>
        <v>0</v>
      </c>
      <c r="BM86" s="13">
        <f t="shared" si="96"/>
        <v>0</v>
      </c>
      <c r="BN86" s="12" t="s">
        <v>262</v>
      </c>
      <c r="BO86" s="12" t="s">
        <v>262</v>
      </c>
      <c r="BP86" s="12" t="s">
        <v>262</v>
      </c>
      <c r="BQ86" s="12" t="s">
        <v>262</v>
      </c>
      <c r="BR86" s="12"/>
      <c r="BS86" s="12"/>
      <c r="BT86" s="12"/>
      <c r="BU86" s="12"/>
      <c r="BV86" s="12"/>
      <c r="BW86" s="51"/>
      <c r="BX86" s="12" t="s">
        <v>134</v>
      </c>
      <c r="BY86" s="12" t="s">
        <v>131</v>
      </c>
      <c r="BZ86" s="12" t="s">
        <v>131</v>
      </c>
      <c r="CA86" s="12" t="s">
        <v>132</v>
      </c>
      <c r="CB86" s="12" t="s">
        <v>135</v>
      </c>
      <c r="CC86" s="12" t="s">
        <v>129</v>
      </c>
      <c r="CD86" s="12" t="s">
        <v>129</v>
      </c>
      <c r="CE86" s="12" t="s">
        <v>131</v>
      </c>
      <c r="CF86" s="12" t="s">
        <v>129</v>
      </c>
      <c r="CG86" s="12" t="s">
        <v>131</v>
      </c>
      <c r="CH86" s="10">
        <v>3</v>
      </c>
      <c r="CI86" s="10">
        <v>18</v>
      </c>
      <c r="CJ86" s="148"/>
      <c r="CK86" s="63"/>
    </row>
    <row r="87" spans="1:89" ht="15.75">
      <c r="A87" s="54" t="s">
        <v>342</v>
      </c>
      <c r="B87" s="45"/>
      <c r="C87" s="186" t="s">
        <v>680</v>
      </c>
      <c r="D87" s="186" t="s">
        <v>681</v>
      </c>
      <c r="E87" s="186" t="s">
        <v>682</v>
      </c>
      <c r="F87" s="186" t="s">
        <v>683</v>
      </c>
      <c r="G87" s="186" t="s">
        <v>684</v>
      </c>
      <c r="H87" s="94" t="s">
        <v>685</v>
      </c>
      <c r="I87" s="281" t="s">
        <v>686</v>
      </c>
      <c r="J87" s="184"/>
      <c r="K87" s="139"/>
      <c r="L87" s="10" t="s">
        <v>316</v>
      </c>
      <c r="M87" s="34">
        <v>0</v>
      </c>
      <c r="N87" s="34">
        <v>161</v>
      </c>
      <c r="O87" s="34">
        <v>331</v>
      </c>
      <c r="P87" s="34">
        <v>661</v>
      </c>
      <c r="Q87" s="34">
        <v>1301</v>
      </c>
      <c r="R87" s="34">
        <v>2601</v>
      </c>
      <c r="S87" s="34">
        <v>5001</v>
      </c>
      <c r="T87" s="34">
        <v>9001</v>
      </c>
      <c r="U87" s="34">
        <v>23001</v>
      </c>
      <c r="V87" s="34">
        <v>50001</v>
      </c>
      <c r="W87" s="34">
        <v>90001</v>
      </c>
      <c r="X87" s="34">
        <v>130001</v>
      </c>
      <c r="Y87" s="34">
        <f>165001+MAX(0,SUMIFS(INDEX(választott_kasztok,,10),INDEX(választott_kasztok,,1),$L87)-13)*50000</f>
        <v>165001</v>
      </c>
      <c r="Z87" s="20">
        <v>5</v>
      </c>
      <c r="AA87" s="20">
        <v>20</v>
      </c>
      <c r="AB87" s="20">
        <v>75</v>
      </c>
      <c r="AC87" s="20">
        <v>0</v>
      </c>
      <c r="AD87" s="10">
        <f>MAX(8,SUMIFS(INDEX(választott_kasztok,,10),INDEX(választott_kasztok,,1),$L87)*8)</f>
        <v>8</v>
      </c>
      <c r="AE87" s="10">
        <f t="shared" si="185"/>
        <v>3</v>
      </c>
      <c r="AF87" s="10">
        <f t="shared" si="185"/>
        <v>3</v>
      </c>
      <c r="AG87" s="20">
        <f>IF(AND(többes_kaszt=iker_kaszt,váltás_kezdet=0,váltás_kezdet&lt;&gt;""),0,6)</f>
        <v>6</v>
      </c>
      <c r="AH87" s="10">
        <f>MAX(10,IF(választott_kaszt_1=$L87,IF(váltás_kezdet="",VLOOKUP($L87,választott_kasztok,10,FALSE)*10,MIN(VLOOKUP($L87,választott_kasztok,10,FALSE),váltás_kezdet)*10+IF(többes_kaszt=iker_kaszt,MAX(0,VLOOKUP($L87,választott_kasztok,10,FALSE)-váltás_kezdet),0)+IF(többes_kaszt=váltott_kaszt,MAX(0,váltás_kezdet-VLOOKUP($L87,választott_kasztok,10,FALSE))*10)),0)+IF(választott_kaszt_2=$L87,VLOOKUP($L87,választott_kasztok,10,FALSE)*IF(többes_kaszt=iker_kaszt,1,10),0))</f>
        <v>10</v>
      </c>
      <c r="AI87" s="20">
        <v>0</v>
      </c>
      <c r="AJ87" s="20">
        <v>6</v>
      </c>
      <c r="AK87" s="20">
        <v>6</v>
      </c>
      <c r="AL87" s="10">
        <f>MAX(1,SUMIFS(INDEX(választott_kasztok,,10),INDEX(választott_kasztok,,1),$L87))*(k6dobás+2)</f>
        <v>8</v>
      </c>
      <c r="AM87" s="10">
        <f>MAX(9,MIN(1,SUMIFS(INDEX(választott_kasztok,,10),INDEX(választott_kasztok,,1),$L87))*9+MAX(0,SUMIFS(INDEX(választott_kasztok,,10),INDEX(választott_kasztok,,1),$L87)-1)*(6+ROUNDUP(k6dobás/2,0)))</f>
        <v>9</v>
      </c>
      <c r="AN87" s="20" t="s">
        <v>1183</v>
      </c>
      <c r="AO87" s="209"/>
      <c r="AP87" s="33">
        <v>0</v>
      </c>
      <c r="AQ87" s="56"/>
      <c r="AR87" s="56">
        <v>15</v>
      </c>
      <c r="AS87" s="56"/>
      <c r="AT87" s="56"/>
      <c r="AU87" s="56"/>
      <c r="AV87" s="56"/>
      <c r="AW87" s="56"/>
      <c r="AX87" s="56"/>
      <c r="AY87" s="56"/>
      <c r="AZ87" s="56"/>
      <c r="BA87" s="117">
        <f>165001+MAX(0,váltás_kezdet-13)*50000</f>
        <v>165001</v>
      </c>
      <c r="BB87" s="17">
        <f t="shared" si="86"/>
        <v>13</v>
      </c>
      <c r="BC87" s="17">
        <f t="shared" si="87"/>
        <v>11</v>
      </c>
      <c r="BD87" s="17">
        <f t="shared" si="88"/>
        <v>11</v>
      </c>
      <c r="BE87" s="17">
        <f t="shared" si="89"/>
        <v>13</v>
      </c>
      <c r="BF87" s="17">
        <f t="shared" si="90"/>
        <v>14</v>
      </c>
      <c r="BG87" s="116">
        <f t="shared" si="91"/>
        <v>16</v>
      </c>
      <c r="BH87" s="17">
        <f t="shared" si="92"/>
        <v>14</v>
      </c>
      <c r="BI87" s="17">
        <f t="shared" si="93"/>
        <v>14</v>
      </c>
      <c r="BJ87" s="17">
        <f t="shared" si="94"/>
        <v>16</v>
      </c>
      <c r="BK87" s="17">
        <f t="shared" si="95"/>
        <v>14</v>
      </c>
      <c r="BL87" s="17">
        <f t="shared" si="98"/>
        <v>0</v>
      </c>
      <c r="BM87" s="13">
        <f t="shared" si="96"/>
        <v>0</v>
      </c>
      <c r="BN87" s="12"/>
      <c r="BO87" s="12"/>
      <c r="BP87" s="12"/>
      <c r="BQ87" s="12"/>
      <c r="BR87" s="12"/>
      <c r="BS87" s="12"/>
      <c r="BT87" s="12"/>
      <c r="BU87" s="12" t="s">
        <v>262</v>
      </c>
      <c r="BV87" s="12" t="s">
        <v>262</v>
      </c>
      <c r="BW87" s="51"/>
      <c r="BX87" s="12" t="s">
        <v>131</v>
      </c>
      <c r="BY87" s="12" t="s">
        <v>129</v>
      </c>
      <c r="BZ87" s="12" t="s">
        <v>129</v>
      </c>
      <c r="CA87" s="12" t="s">
        <v>131</v>
      </c>
      <c r="CB87" s="12" t="s">
        <v>132</v>
      </c>
      <c r="CC87" s="12" t="s">
        <v>135</v>
      </c>
      <c r="CD87" s="12" t="s">
        <v>132</v>
      </c>
      <c r="CE87" s="12" t="s">
        <v>132</v>
      </c>
      <c r="CF87" s="12" t="s">
        <v>134</v>
      </c>
      <c r="CG87" s="12" t="s">
        <v>132</v>
      </c>
      <c r="CH87" s="20">
        <v>5</v>
      </c>
      <c r="CI87" s="10">
        <v>6</v>
      </c>
      <c r="CJ87" s="148"/>
      <c r="CK87" s="63"/>
    </row>
    <row r="88" spans="1:89">
      <c r="A88" s="15" t="s">
        <v>689</v>
      </c>
      <c r="B88" s="52"/>
      <c r="C88" s="14">
        <v>11</v>
      </c>
      <c r="D88" s="14">
        <v>18</v>
      </c>
      <c r="E88" s="14">
        <v>47</v>
      </c>
      <c r="F88" s="14">
        <v>79</v>
      </c>
      <c r="G88" s="14">
        <v>90</v>
      </c>
      <c r="H88" s="16">
        <v>100</v>
      </c>
      <c r="I88" s="97" t="s">
        <v>680</v>
      </c>
      <c r="J88" s="620" t="s">
        <v>696</v>
      </c>
      <c r="K88" s="621"/>
      <c r="L88" s="20" t="s">
        <v>1192</v>
      </c>
      <c r="M88" s="33">
        <v>0</v>
      </c>
      <c r="N88" s="33">
        <v>176</v>
      </c>
      <c r="O88" s="33">
        <v>353</v>
      </c>
      <c r="P88" s="33">
        <v>721</v>
      </c>
      <c r="Q88" s="33">
        <v>1501</v>
      </c>
      <c r="R88" s="33">
        <v>3501</v>
      </c>
      <c r="S88" s="33">
        <v>7001</v>
      </c>
      <c r="T88" s="33">
        <v>10501</v>
      </c>
      <c r="U88" s="33">
        <v>21001</v>
      </c>
      <c r="V88" s="33">
        <v>48001</v>
      </c>
      <c r="W88" s="33">
        <v>78001</v>
      </c>
      <c r="X88" s="33">
        <v>108001</v>
      </c>
      <c r="Y88" s="34">
        <f>138001+MAX(0,SUMIFS(INDEX(választott_kasztok,,10),INDEX(választott_kasztok,,1),$L88)-13)*38000</f>
        <v>138001</v>
      </c>
      <c r="Z88" s="20">
        <v>5</v>
      </c>
      <c r="AA88" s="20">
        <v>20</v>
      </c>
      <c r="AB88" s="20">
        <v>75</v>
      </c>
      <c r="AC88" s="20">
        <v>0</v>
      </c>
      <c r="AD88" s="10">
        <f>MAX(8,SUMIFS(INDEX(választott_kasztok,,10),INDEX(választott_kasztok,,1),$L88)*8)</f>
        <v>8</v>
      </c>
      <c r="AE88" s="10">
        <f t="shared" si="185"/>
        <v>3</v>
      </c>
      <c r="AF88" s="10">
        <f t="shared" si="185"/>
        <v>3</v>
      </c>
      <c r="AG88" s="20">
        <f>IF(AND(többes_kaszt=iker_kaszt,váltás_kezdet=0,váltás_kezdet&lt;&gt;""),0,5)</f>
        <v>5</v>
      </c>
      <c r="AH88" s="10">
        <f>MAX(5,IF(választott_kaszt_1=$L88,IF(váltás_kezdet="",VLOOKUP($L88,választott_kasztok,10,FALSE)*5,MIN(VLOOKUP($L88,választott_kasztok,10,FALSE),váltás_kezdet)*5+IF(többes_kaszt=iker_kaszt,MAX(0,VLOOKUP($L88,választott_kasztok,10,FALSE)-váltás_kezdet),0)+IF(többes_kaszt=váltott_kaszt,MAX(0,váltás_kezdet-VLOOKUP($L88,választott_kasztok,10,FALSE))*5)),0)+IF(választott_kaszt_2=$L88,VLOOKUP($L88,választott_kasztok,10,FALSE)*IF(többes_kaszt=iker_kaszt,1,5),0))</f>
        <v>5</v>
      </c>
      <c r="AI88" s="20">
        <v>0</v>
      </c>
      <c r="AJ88" s="20">
        <v>8</v>
      </c>
      <c r="AK88" s="20">
        <v>7</v>
      </c>
      <c r="AL88" s="10">
        <f t="shared" ref="AL88:AL93" si="197">MAX(1,SUMIFS(INDEX(választott_kasztok,,10),INDEX(választott_kasztok,,1),$L88))*(k6dobás+5)</f>
        <v>11</v>
      </c>
      <c r="AM88" s="10">
        <f>MAX(9,MIN(1,SUMIFS(INDEX(választott_kasztok,,10),INDEX(választott_kasztok,,1),$L88))*9+MAX(0,SUMIFS(INDEX(választott_kasztok,,10),INDEX(választott_kasztok,,1),$L88)-1)*(6+ROUNDUP(k6dobás/2,0)))</f>
        <v>9</v>
      </c>
      <c r="AN88" s="20" t="s">
        <v>107</v>
      </c>
      <c r="AO88" s="208"/>
      <c r="AP88" s="33">
        <v>0</v>
      </c>
      <c r="AQ88" s="56"/>
      <c r="AR88" s="56">
        <v>30</v>
      </c>
      <c r="AS88" s="56">
        <v>15</v>
      </c>
      <c r="AT88" s="56"/>
      <c r="AU88" s="56"/>
      <c r="AV88" s="56"/>
      <c r="AW88" s="56"/>
      <c r="AX88" s="56"/>
      <c r="AY88" s="56"/>
      <c r="AZ88" s="56"/>
      <c r="BA88" s="117">
        <f>138001+MAX(0,váltás_kezdet-13)*38000</f>
        <v>138001</v>
      </c>
      <c r="BB88" s="17">
        <f t="shared" si="86"/>
        <v>14</v>
      </c>
      <c r="BC88" s="17">
        <f t="shared" si="87"/>
        <v>11</v>
      </c>
      <c r="BD88" s="17">
        <f t="shared" si="88"/>
        <v>11</v>
      </c>
      <c r="BE88" s="17">
        <f t="shared" si="89"/>
        <v>14</v>
      </c>
      <c r="BF88" s="116">
        <f t="shared" si="90"/>
        <v>16</v>
      </c>
      <c r="BG88" s="17">
        <f t="shared" si="91"/>
        <v>14</v>
      </c>
      <c r="BH88" s="17">
        <f t="shared" si="92"/>
        <v>13</v>
      </c>
      <c r="BI88" s="17">
        <f t="shared" si="93"/>
        <v>14</v>
      </c>
      <c r="BJ88" s="17">
        <f t="shared" si="94"/>
        <v>16</v>
      </c>
      <c r="BK88" s="17">
        <f t="shared" si="95"/>
        <v>14</v>
      </c>
      <c r="BL88" s="17">
        <f>MAX(0,SUM(tulajdonságok)-SUM($BB88:$BK88))</f>
        <v>0</v>
      </c>
      <c r="BM88" s="13">
        <f t="shared" si="96"/>
        <v>0</v>
      </c>
      <c r="BN88" s="12"/>
      <c r="BO88" s="12"/>
      <c r="BP88" s="12"/>
      <c r="BQ88" s="12"/>
      <c r="BR88" s="12"/>
      <c r="BS88" s="12"/>
      <c r="BT88" s="12"/>
      <c r="BU88" s="12" t="s">
        <v>262</v>
      </c>
      <c r="BV88" s="12" t="s">
        <v>262</v>
      </c>
      <c r="BW88" s="51"/>
      <c r="BX88" s="12" t="s">
        <v>132</v>
      </c>
      <c r="BY88" s="12" t="s">
        <v>129</v>
      </c>
      <c r="BZ88" s="12" t="s">
        <v>129</v>
      </c>
      <c r="CA88" s="12" t="s">
        <v>132</v>
      </c>
      <c r="CB88" s="12" t="s">
        <v>135</v>
      </c>
      <c r="CC88" s="12" t="s">
        <v>132</v>
      </c>
      <c r="CD88" s="12" t="s">
        <v>131</v>
      </c>
      <c r="CE88" s="12" t="s">
        <v>132</v>
      </c>
      <c r="CF88" s="12" t="s">
        <v>134</v>
      </c>
      <c r="CG88" s="12" t="s">
        <v>132</v>
      </c>
      <c r="CH88" s="10">
        <v>3</v>
      </c>
      <c r="CI88" s="10">
        <v>6</v>
      </c>
      <c r="CJ88" s="148"/>
      <c r="CK88" s="63"/>
    </row>
    <row r="89" spans="1:89">
      <c r="A89" s="15" t="s">
        <v>690</v>
      </c>
      <c r="B89" s="52"/>
      <c r="C89" s="14">
        <v>11</v>
      </c>
      <c r="D89" s="14">
        <v>18</v>
      </c>
      <c r="E89" s="14">
        <v>47</v>
      </c>
      <c r="F89" s="14">
        <v>79</v>
      </c>
      <c r="G89" s="14">
        <v>90</v>
      </c>
      <c r="H89" s="16">
        <v>100</v>
      </c>
      <c r="I89" s="98" t="s">
        <v>681</v>
      </c>
      <c r="J89" s="624" t="s">
        <v>697</v>
      </c>
      <c r="K89" s="613"/>
      <c r="L89" s="266" t="s">
        <v>26</v>
      </c>
      <c r="M89" s="33">
        <v>0</v>
      </c>
      <c r="N89" s="33">
        <v>151</v>
      </c>
      <c r="O89" s="33">
        <v>371</v>
      </c>
      <c r="P89" s="33">
        <v>801</v>
      </c>
      <c r="Q89" s="33">
        <v>1651</v>
      </c>
      <c r="R89" s="33">
        <v>3201</v>
      </c>
      <c r="S89" s="33">
        <v>6401</v>
      </c>
      <c r="T89" s="33">
        <v>12001</v>
      </c>
      <c r="U89" s="33">
        <v>25001</v>
      </c>
      <c r="V89" s="33">
        <v>45001</v>
      </c>
      <c r="W89" s="33">
        <v>65001</v>
      </c>
      <c r="X89" s="33">
        <v>90001</v>
      </c>
      <c r="Y89" s="34">
        <f>110001+MAX(0,SUMIFS(INDEX(választott_kasztok,,10),INDEX(választott_kasztok,,1),$L89)-13)*35000</f>
        <v>110001</v>
      </c>
      <c r="Z89" s="10">
        <v>5</v>
      </c>
      <c r="AA89" s="10">
        <v>20</v>
      </c>
      <c r="AB89" s="10">
        <v>75</v>
      </c>
      <c r="AC89" s="10">
        <v>0</v>
      </c>
      <c r="AD89" s="10">
        <f>MAX(12,SUMIFS(INDEX(választott_kasztok,,10),INDEX(választott_kasztok,,1),$L89)*12)</f>
        <v>12</v>
      </c>
      <c r="AE89" s="10">
        <f t="shared" ref="AE89:AF93" si="198">MAX(5,SUMIFS(INDEX(választott_kasztok,,10),INDEX(választott_kasztok,,1),$L89)*5)</f>
        <v>5</v>
      </c>
      <c r="AF89" s="10">
        <f t="shared" si="198"/>
        <v>5</v>
      </c>
      <c r="AG89" s="20">
        <f>IF(AND(többes_kaszt=iker_kaszt,váltás_kezdet=0,váltás_kezdet&lt;&gt;""),0,4)</f>
        <v>4</v>
      </c>
      <c r="AH89" s="10">
        <f>MAX(7,IF(választott_kaszt_1=$L89,IF(váltás_kezdet="",VLOOKUP($L89,választott_kasztok,10,FALSE)*7,MIN(VLOOKUP($L89,választott_kasztok,10,FALSE),váltás_kezdet)*7+IF(többes_kaszt=iker_kaszt,MAX(0,VLOOKUP($L89,választott_kasztok,10,FALSE)-váltás_kezdet),0)+IF(többes_kaszt=váltott_kaszt,MAX(0,váltás_kezdet-VLOOKUP($L89,választott_kasztok,10,FALSE))*7)),0)+IF(választott_kaszt_2=$L89,VLOOKUP($L89,választott_kasztok,10,FALSE)*IF(többes_kaszt=iker_kaszt,1,7),0))</f>
        <v>7</v>
      </c>
      <c r="AI89" s="10">
        <v>0</v>
      </c>
      <c r="AJ89" s="10">
        <v>7</v>
      </c>
      <c r="AK89" s="10">
        <v>6</v>
      </c>
      <c r="AL89" s="10">
        <f t="shared" si="197"/>
        <v>11</v>
      </c>
      <c r="AM89" s="10"/>
      <c r="AN89" s="20" t="str">
        <f>IF(OR(SUMIFS(INDEX(választott_kasztok,,10),INDEX(választott_kasztok,,1),lovag)&gt;3,tanultAfTSZ&gt;0,tanultMfTSZ&gt;0),pyarroni,nincsen)</f>
        <v>nincs</v>
      </c>
      <c r="AO89" s="209" t="str">
        <f>TEXT(IF(tanultMfkaszt=0,IF(SUMIFS(INDEX(választott_kasztok,,10),INDEX(választott_kasztok,,1),$L89)&lt;12,0,12),IF(INDEX(választott_kasztok,tanultMfkaszt,1)=$L89,IF(OR(tanultMfTSZ=0,tanultMfTSZ&gt;MIN(12,SUMIFS(INDEX(választott_kasztok,,10),INDEX(választott_kasztok,,1),$L89))),IF(SUMIFS(INDEX(választott_kasztok,,10),INDEX(választott_kasztok,,1),$L89)&lt;12,0,12),MIN(12,tanultMfTSZ)),0)),"00")&amp;TEXT(IF(tanultAfkaszt=0,IF(SUMIFS(INDEX(választott_kasztok,,10),INDEX(választott_kasztok,,1),$L89)&lt;4,0,4),IF(INDEX(választott_kasztok,tanultAfkaszt,1)=$L89,IF(OR(tanultAfTSZ=0,tanultAfTSZ&gt;MIN(4,SUMIFS(INDEX(választott_kasztok,,10),INDEX(választott_kasztok,,1),$L89))),IF(SUMIFS(INDEX(választott_kasztok,,10),INDEX(választott_kasztok,,1),$L89)&lt;4,0,4),MIN(4,tanultAfTSZ)),0)),"00")&amp;"01"</f>
        <v>000001</v>
      </c>
      <c r="AP89" s="33">
        <v>0</v>
      </c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117">
        <f>110001+MAX(0,váltás_kezdet-13)*35000</f>
        <v>110001</v>
      </c>
      <c r="BB89" s="17">
        <f t="shared" ref="BB89:BB131" si="199">MAX(SUMIFS(INDEX(dobások,,2),INDEX(dobások,,1),BX89)+SUMIFS(INDEX(fajok,,3),INDEX(fajok,,1),választott_faj),IF(AND(többes_kaszt=iker_kaszt,váltás_kezdet=1,választott_kaszt_1=$L89),SUMIFS(INDEX(kasztok,,43),INDEX(kasztok,,1),választott_kaszt_2),0))</f>
        <v>16</v>
      </c>
      <c r="BC89" s="17">
        <f t="shared" ref="BC89:BC131" si="200">MAX(SUMIFS(INDEX(dobások,,2),INDEX(dobások,,1),BY89)+SUMIFS(INDEX(fajok,,4),INDEX(fajok,,1),választott_faj),IF(AND(többes_kaszt=iker_kaszt,váltás_kezdet=1,választott_kaszt_1=$L89),SUMIFS(INDEX(kasztok,,44),INDEX(kasztok,,1),választott_kaszt_2),0))</f>
        <v>11</v>
      </c>
      <c r="BD89" s="17">
        <f t="shared" ref="BD89:BD131" si="201">MAX(SUMIFS(INDEX(dobások,,2),INDEX(dobások,,1),BZ89)+SUMIFS(INDEX(fajok,,5),INDEX(fajok,,1),választott_faj),IF(AND(többes_kaszt=iker_kaszt,váltás_kezdet=1,választott_kaszt_1=$L89),SUMIFS(INDEX(kasztok,,45),INDEX(kasztok,,1),választott_kaszt_2),0))</f>
        <v>11</v>
      </c>
      <c r="BE89" s="17">
        <f t="shared" ref="BE89:BE131" si="202">MAX(SUMIFS(INDEX(dobások,,2),INDEX(dobások,,1),CA89)+SUMIFS(INDEX(fajok,,6),INDEX(fajok,,1),választott_faj),IF(AND(többes_kaszt=iker_kaszt,váltás_kezdet=1,választott_kaszt_1=$L89),SUMIFS(INDEX(kasztok,,46),INDEX(kasztok,,1),választott_kaszt_2),0))</f>
        <v>14</v>
      </c>
      <c r="BF89" s="116">
        <f t="shared" ref="BF89:BF131" si="203">MAX(SUMIFS(INDEX(dobások,,2),INDEX(dobások,,1),CB89)+SUMIFS(INDEX(fajok,,7),INDEX(fajok,,1),választott_faj),IF(AND(többes_kaszt=iker_kaszt,váltás_kezdet=1,választott_kaszt_1=$L89),SUMIFS(INDEX(kasztok,,47),INDEX(kasztok,,1),választott_kaszt_2),0))</f>
        <v>16</v>
      </c>
      <c r="BG89" s="17">
        <f t="shared" ref="BG89:BG131" si="204">MAX(SUMIFS(INDEX(dobások,,2),INDEX(dobások,,1),CC89)+SUMIFS(INDEX(fajok,,8),INDEX(fajok,,1),választott_faj),IF(AND(többes_kaszt=iker_kaszt,váltás_kezdet=1,választott_kaszt_1=$L89),SUMIFS(INDEX(kasztok,,48),INDEX(kasztok,,1),választott_kaszt_2),0))</f>
        <v>13</v>
      </c>
      <c r="BH89" s="17">
        <f t="shared" ref="BH89:BH131" si="205">MAX(SUMIFS(INDEX(dobások,,2),INDEX(dobások,,1),CD89)+SUMIFS(INDEX(fajok,,9),INDEX(fajok,,1),választott_faj),IF(AND(többes_kaszt=iker_kaszt,váltás_kezdet=1,választott_kaszt_1=$L89),SUMIFS(INDEX(kasztok,,49),INDEX(kasztok,,1),választott_kaszt_2),0))</f>
        <v>13</v>
      </c>
      <c r="BI89" s="17">
        <f t="shared" ref="BI89:BI131" si="206">MAX(SUMIFS(INDEX(dobások,,2),INDEX(dobások,,1),CE89),IF(AND(többes_kaszt=iker_kaszt,váltás_kezdet=1,választott_kaszt_1=$L89),SUMIFS(INDEX(kasztok,,50),INDEX(kasztok,,1),választott_kaszt_2),0))</f>
        <v>14</v>
      </c>
      <c r="BJ89" s="17">
        <f t="shared" ref="BJ89:BJ131" si="207">MAX(SUMIFS(INDEX(dobások,,2),INDEX(dobások,,1),CF89)+SUMIFS(INDEX(fajok,,10),INDEX(fajok,,1),választott_faj),IF(AND(többes_kaszt=iker_kaszt,váltás_kezdet=1,választott_kaszt_1=$L89),SUMIFS(INDEX(kasztok,,51),INDEX(kasztok,,1),választott_kaszt_2),0))</f>
        <v>11</v>
      </c>
      <c r="BK89" s="17">
        <f t="shared" ref="BK89:BK131" si="208">MAX(SUMIFS(INDEX(dobások,,2),INDEX(dobások,,1),CG89),IF(AND(többes_kaszt=iker_kaszt,váltás_kezdet=1,választott_kaszt_1=$L89),SUMIFS(INDEX(kasztok,,52),INDEX(kasztok,,1),választott_kaszt_2),0))</f>
        <v>13</v>
      </c>
      <c r="BL89" s="17">
        <f t="shared" si="98"/>
        <v>0</v>
      </c>
      <c r="BM89" s="13">
        <f t="shared" si="96"/>
        <v>0</v>
      </c>
      <c r="BN89" s="12" t="s">
        <v>262</v>
      </c>
      <c r="BO89" s="12"/>
      <c r="BP89" s="12"/>
      <c r="BQ89" s="12" t="s">
        <v>262</v>
      </c>
      <c r="BR89" s="12"/>
      <c r="BS89" s="12" t="s">
        <v>262</v>
      </c>
      <c r="BT89" s="12"/>
      <c r="BU89" s="12"/>
      <c r="BV89" s="12"/>
      <c r="BW89" s="51"/>
      <c r="BX89" s="12" t="s">
        <v>134</v>
      </c>
      <c r="BY89" s="12" t="s">
        <v>129</v>
      </c>
      <c r="BZ89" s="12" t="s">
        <v>129</v>
      </c>
      <c r="CA89" s="12" t="s">
        <v>132</v>
      </c>
      <c r="CB89" s="12" t="s">
        <v>135</v>
      </c>
      <c r="CC89" s="12" t="s">
        <v>131</v>
      </c>
      <c r="CD89" s="12" t="s">
        <v>131</v>
      </c>
      <c r="CE89" s="12" t="s">
        <v>132</v>
      </c>
      <c r="CF89" s="12" t="s">
        <v>129</v>
      </c>
      <c r="CG89" s="12" t="s">
        <v>131</v>
      </c>
      <c r="CH89" s="20">
        <v>1</v>
      </c>
      <c r="CI89" s="10">
        <v>12</v>
      </c>
      <c r="CJ89" s="148"/>
      <c r="CK89" s="63"/>
    </row>
    <row r="90" spans="1:89">
      <c r="A90" s="15" t="s">
        <v>255</v>
      </c>
      <c r="B90" s="52"/>
      <c r="C90" s="14">
        <v>18</v>
      </c>
      <c r="D90" s="14">
        <v>25</v>
      </c>
      <c r="E90" s="14">
        <v>111</v>
      </c>
      <c r="F90" s="14">
        <v>186</v>
      </c>
      <c r="G90" s="14">
        <v>216</v>
      </c>
      <c r="H90" s="16">
        <v>235</v>
      </c>
      <c r="I90" s="98" t="s">
        <v>682</v>
      </c>
      <c r="J90" s="624" t="s">
        <v>698</v>
      </c>
      <c r="K90" s="613"/>
      <c r="L90" s="266" t="s">
        <v>1260</v>
      </c>
      <c r="M90" s="33">
        <v>0</v>
      </c>
      <c r="N90" s="33">
        <v>151</v>
      </c>
      <c r="O90" s="33">
        <v>371</v>
      </c>
      <c r="P90" s="33">
        <v>801</v>
      </c>
      <c r="Q90" s="33">
        <v>1651</v>
      </c>
      <c r="R90" s="33">
        <v>3201</v>
      </c>
      <c r="S90" s="33">
        <v>6401</v>
      </c>
      <c r="T90" s="33">
        <v>12001</v>
      </c>
      <c r="U90" s="33">
        <v>25001</v>
      </c>
      <c r="V90" s="33">
        <v>45001</v>
      </c>
      <c r="W90" s="33">
        <v>65001</v>
      </c>
      <c r="X90" s="33">
        <v>90001</v>
      </c>
      <c r="Y90" s="34">
        <f>110001+MAX(0,SUMIFS(INDEX(választott_kasztok,,10),INDEX(választott_kasztok,,1),$L90)-13)*35000</f>
        <v>110001</v>
      </c>
      <c r="Z90" s="10">
        <v>5</v>
      </c>
      <c r="AA90" s="10">
        <v>20</v>
      </c>
      <c r="AB90" s="10">
        <v>75</v>
      </c>
      <c r="AC90" s="10">
        <v>0</v>
      </c>
      <c r="AD90" s="10">
        <f>MAX(12,SUMIFS(INDEX(választott_kasztok,,10),INDEX(választott_kasztok,,1),$L90)*12)</f>
        <v>12</v>
      </c>
      <c r="AE90" s="10">
        <f t="shared" si="198"/>
        <v>5</v>
      </c>
      <c r="AF90" s="10">
        <f t="shared" si="198"/>
        <v>5</v>
      </c>
      <c r="AG90" s="37">
        <f>IF(AND(többes_kaszt=iker_kaszt,váltás_kezdet=0,váltás_kezdet&lt;&gt;""),0,2)</f>
        <v>2</v>
      </c>
      <c r="AH90" s="37">
        <f>MAX(6,IF(választott_kaszt_1=$L90,IF(váltás_kezdet="",VLOOKUP($L90,választott_kasztok,10,FALSE)*6,MIN(VLOOKUP($L90,választott_kasztok,10,FALSE),váltás_kezdet)*6+IF(többes_kaszt=iker_kaszt,MAX(0,VLOOKUP($L90,választott_kasztok,10,FALSE)-váltás_kezdet),0)+IF(többes_kaszt=váltott_kaszt,MAX(0,váltás_kezdet-VLOOKUP($L90,választott_kasztok,10,FALSE))*6)),0)+IF(választott_kaszt_2=$L90,VLOOKUP($L90,választott_kasztok,10,FALSE)*IF(többes_kaszt=iker_kaszt,1,6),0))</f>
        <v>6</v>
      </c>
      <c r="AI90" s="10">
        <v>0</v>
      </c>
      <c r="AJ90" s="10">
        <v>7</v>
      </c>
      <c r="AK90" s="10">
        <v>6</v>
      </c>
      <c r="AL90" s="10">
        <f t="shared" si="197"/>
        <v>11</v>
      </c>
      <c r="AM90" s="10"/>
      <c r="AN90" s="20" t="str">
        <f>IF(OR(SUMIFS(INDEX(választott_kasztok,,10),INDEX(választott_kasztok,,1),lovag)&gt;3,tanultAfTSZ&gt;0,tanultMfTSZ&gt;0),pyarroni,nincsen)</f>
        <v>nincs</v>
      </c>
      <c r="AO90" s="209" t="str">
        <f>TEXT(IF(tanultMfkaszt=0,IF(SUMIFS(INDEX(választott_kasztok,,10),INDEX(választott_kasztok,,1),$L90)&lt;11,0,11),IF(INDEX(választott_kasztok,tanultMfkaszt,1)=$L90,IF(OR(tanultMfTSZ=0,tanultMfTSZ&gt;MIN(11,SUMIFS(INDEX(választott_kasztok,,10),INDEX(választott_kasztok,,1),$L90))),IF(SUMIFS(INDEX(választott_kasztok,,10),INDEX(választott_kasztok,,1),$L90)&lt;11,0,11),MIN(11,tanultMfTSZ)),0)),"00")&amp;TEXT(IF(tanultAfkaszt=0,IF(SUMIFS(INDEX(választott_kasztok,,10),INDEX(választott_kasztok,,1),$L90)&lt;4,0,4),IF(INDEX(választott_kasztok,tanultAfkaszt,1)=$L90,IF(OR(tanultAfTSZ=0,tanultAfTSZ&gt;MIN(4,SUMIFS(INDEX(választott_kasztok,,10),INDEX(választott_kasztok,,1),$L90))),IF(SUMIFS(INDEX(választott_kasztok,,10),INDEX(választott_kasztok,,1),$L90)&lt;4,0,4),MIN(4,tanultAfTSZ)),0)),"00")&amp;"01"</f>
        <v>000001</v>
      </c>
      <c r="AP90" s="33">
        <v>0</v>
      </c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117">
        <f>110001+MAX(0,váltás_kezdet-13)*35000</f>
        <v>110001</v>
      </c>
      <c r="BB90" s="17">
        <f t="shared" ref="BB90:BB93" si="209">MAX(SUMIFS(INDEX(dobások,,2),INDEX(dobások,,1),BX90)+SUMIFS(INDEX(fajok,,3),INDEX(fajok,,1),választott_faj),IF(AND(többes_kaszt=iker_kaszt,váltás_kezdet=1,választott_kaszt_1=$L90),SUMIFS(INDEX(kasztok,,43),INDEX(kasztok,,1),választott_kaszt_2),0))</f>
        <v>16</v>
      </c>
      <c r="BC90" s="17">
        <f t="shared" ref="BC90:BC93" si="210">MAX(SUMIFS(INDEX(dobások,,2),INDEX(dobások,,1),BY90)+SUMIFS(INDEX(fajok,,4),INDEX(fajok,,1),választott_faj),IF(AND(többes_kaszt=iker_kaszt,váltás_kezdet=1,választott_kaszt_1=$L90),SUMIFS(INDEX(kasztok,,44),INDEX(kasztok,,1),választott_kaszt_2),0))</f>
        <v>11</v>
      </c>
      <c r="BD90" s="17">
        <f t="shared" ref="BD90:BD93" si="211">MAX(SUMIFS(INDEX(dobások,,2),INDEX(dobások,,1),BZ90)+SUMIFS(INDEX(fajok,,5),INDEX(fajok,,1),választott_faj),IF(AND(többes_kaszt=iker_kaszt,váltás_kezdet=1,választott_kaszt_1=$L90),SUMIFS(INDEX(kasztok,,45),INDEX(kasztok,,1),választott_kaszt_2),0))</f>
        <v>11</v>
      </c>
      <c r="BE90" s="17">
        <f t="shared" ref="BE90:BE93" si="212">MAX(SUMIFS(INDEX(dobások,,2),INDEX(dobások,,1),CA90)+SUMIFS(INDEX(fajok,,6),INDEX(fajok,,1),választott_faj),IF(AND(többes_kaszt=iker_kaszt,váltás_kezdet=1,választott_kaszt_1=$L90),SUMIFS(INDEX(kasztok,,46),INDEX(kasztok,,1),választott_kaszt_2),0))</f>
        <v>14</v>
      </c>
      <c r="BF90" s="116">
        <f t="shared" ref="BF90:BF93" si="213">MAX(SUMIFS(INDEX(dobások,,2),INDEX(dobások,,1),CB90)+SUMIFS(INDEX(fajok,,7),INDEX(fajok,,1),választott_faj),IF(AND(többes_kaszt=iker_kaszt,váltás_kezdet=1,választott_kaszt_1=$L90),SUMIFS(INDEX(kasztok,,47),INDEX(kasztok,,1),választott_kaszt_2),0))</f>
        <v>16</v>
      </c>
      <c r="BG90" s="17">
        <f t="shared" ref="BG90:BG93" si="214">MAX(SUMIFS(INDEX(dobások,,2),INDEX(dobások,,1),CC90)+SUMIFS(INDEX(fajok,,8),INDEX(fajok,,1),választott_faj),IF(AND(többes_kaszt=iker_kaszt,váltás_kezdet=1,választott_kaszt_1=$L90),SUMIFS(INDEX(kasztok,,48),INDEX(kasztok,,1),választott_kaszt_2),0))</f>
        <v>13</v>
      </c>
      <c r="BH90" s="17">
        <f t="shared" ref="BH90:BH93" si="215">MAX(SUMIFS(INDEX(dobások,,2),INDEX(dobások,,1),CD90)+SUMIFS(INDEX(fajok,,9),INDEX(fajok,,1),választott_faj),IF(AND(többes_kaszt=iker_kaszt,váltás_kezdet=1,választott_kaszt_1=$L90),SUMIFS(INDEX(kasztok,,49),INDEX(kasztok,,1),választott_kaszt_2),0))</f>
        <v>13</v>
      </c>
      <c r="BI90" s="17">
        <f t="shared" ref="BI90:BI93" si="216">MAX(SUMIFS(INDEX(dobások,,2),INDEX(dobások,,1),CE90),IF(AND(többes_kaszt=iker_kaszt,váltás_kezdet=1,választott_kaszt_1=$L90),SUMIFS(INDEX(kasztok,,50),INDEX(kasztok,,1),választott_kaszt_2),0))</f>
        <v>14</v>
      </c>
      <c r="BJ90" s="17">
        <f t="shared" ref="BJ90:BJ93" si="217">MAX(SUMIFS(INDEX(dobások,,2),INDEX(dobások,,1),CF90)+SUMIFS(INDEX(fajok,,10),INDEX(fajok,,1),választott_faj),IF(AND(többes_kaszt=iker_kaszt,váltás_kezdet=1,választott_kaszt_1=$L90),SUMIFS(INDEX(kasztok,,51),INDEX(kasztok,,1),választott_kaszt_2),0))</f>
        <v>14</v>
      </c>
      <c r="BK90" s="17">
        <f t="shared" ref="BK90:BK93" si="218">MAX(SUMIFS(INDEX(dobások,,2),INDEX(dobások,,1),CG90),IF(AND(többes_kaszt=iker_kaszt,váltás_kezdet=1,választott_kaszt_1=$L90),SUMIFS(INDEX(kasztok,,52),INDEX(kasztok,,1),választott_kaszt_2),0))</f>
        <v>13</v>
      </c>
      <c r="BL90" s="17">
        <f t="shared" si="98"/>
        <v>0</v>
      </c>
      <c r="BM90" s="13">
        <f t="shared" ref="BM90:BM93" si="219">MAX(0,erő-(SUMIFS(INDEX(dobások,,4),INDEX(dobások,,1),BX90)+SUMIFS(INDEX(fajok,,3),INDEX(fajok,,1),választott_faj)))+MAX(0,gyorsaság-(SUMIFS(INDEX(dobások,,4),INDEX(dobások,,1),BY90)+SUMIFS(INDEX(fajok,,4),INDEX(fajok,,1),választott_faj)))+MAX(0,ügyesség-(SUMIFS(INDEX(dobások,,4),INDEX(dobások,,1),BZ90)+SUMIFS(INDEX(fajok,,5),INDEX(fajok,,1),választott_faj)))+MAX(0,állóképesség-(SUMIFS(INDEX(dobások,,4),INDEX(dobások,,1),CA90)+SUMIFS(INDEX(fajok,,6),INDEX(fajok,,1),választott_faj)))+MAX(0,egészség-(SUMIFS(INDEX(dobások,,4),INDEX(dobások,,1),CB90)+SUMIFS(INDEX(fajok,,7),INDEX(fajok,,1),választott_faj)))+MAX(0,szépség-(SUMIFS(INDEX(dobások,,4),INDEX(dobások,,1),CC90)+SUMIFS(INDEX(fajok,,8),INDEX(fajok,,1),választott_faj)))+MAX(0,intelligencia-(SUMIFS(INDEX(dobások,,4),INDEX(dobások,,1),CD90)+SUMIFS(INDEX(fajok,,9),INDEX(fajok,,1),választott_faj)))+MAX(0,akaraterő-SUMIFS(INDEX(dobások,,4),INDEX(dobások,,1),CE90))+MAX(0,asztrál-(SUMIFS(INDEX(dobások,,4),INDEX(dobások,,1),CF90)+SUMIFS(INDEX(fajok,,10),INDEX(fajok,,1),választott_faj)))+MAX(0,érzékelés-SUMIFS(INDEX(dobások,,4),INDEX(dobások,,1),CG90))</f>
        <v>0</v>
      </c>
      <c r="BN90" s="12" t="s">
        <v>262</v>
      </c>
      <c r="BO90" s="12"/>
      <c r="BP90" s="12"/>
      <c r="BQ90" s="12" t="s">
        <v>262</v>
      </c>
      <c r="BR90" s="12"/>
      <c r="BS90" s="12" t="s">
        <v>262</v>
      </c>
      <c r="BT90" s="12"/>
      <c r="BU90" s="12"/>
      <c r="BV90" s="12" t="s">
        <v>262</v>
      </c>
      <c r="BW90" s="51"/>
      <c r="BX90" s="12" t="s">
        <v>134</v>
      </c>
      <c r="BY90" s="12" t="s">
        <v>129</v>
      </c>
      <c r="BZ90" s="12" t="s">
        <v>129</v>
      </c>
      <c r="CA90" s="12" t="s">
        <v>132</v>
      </c>
      <c r="CB90" s="12" t="s">
        <v>135</v>
      </c>
      <c r="CC90" s="12" t="s">
        <v>131</v>
      </c>
      <c r="CD90" s="12" t="s">
        <v>131</v>
      </c>
      <c r="CE90" s="12" t="s">
        <v>132</v>
      </c>
      <c r="CF90" s="260" t="s">
        <v>132</v>
      </c>
      <c r="CG90" s="12" t="s">
        <v>131</v>
      </c>
      <c r="CH90" s="20">
        <v>3</v>
      </c>
      <c r="CI90" s="10">
        <v>12</v>
      </c>
      <c r="CJ90" s="148"/>
      <c r="CK90" s="63"/>
    </row>
    <row r="91" spans="1:89">
      <c r="A91" s="15" t="s">
        <v>246</v>
      </c>
      <c r="B91" s="52"/>
      <c r="C91" s="14">
        <v>30</v>
      </c>
      <c r="D91" s="14">
        <v>50</v>
      </c>
      <c r="E91" s="14">
        <v>1401</v>
      </c>
      <c r="F91" s="14">
        <v>1601</v>
      </c>
      <c r="G91" s="14">
        <v>1801</v>
      </c>
      <c r="H91" s="16">
        <v>1901</v>
      </c>
      <c r="I91" s="98" t="s">
        <v>683</v>
      </c>
      <c r="J91" s="624" t="s">
        <v>699</v>
      </c>
      <c r="K91" s="613"/>
      <c r="L91" s="266" t="s">
        <v>1259</v>
      </c>
      <c r="M91" s="33">
        <v>0</v>
      </c>
      <c r="N91" s="33">
        <v>151</v>
      </c>
      <c r="O91" s="33">
        <v>371</v>
      </c>
      <c r="P91" s="33">
        <v>801</v>
      </c>
      <c r="Q91" s="33">
        <v>1651</v>
      </c>
      <c r="R91" s="33">
        <v>3201</v>
      </c>
      <c r="S91" s="33">
        <v>6401</v>
      </c>
      <c r="T91" s="33">
        <v>12001</v>
      </c>
      <c r="U91" s="33">
        <v>25001</v>
      </c>
      <c r="V91" s="33">
        <v>45001</v>
      </c>
      <c r="W91" s="33">
        <v>65001</v>
      </c>
      <c r="X91" s="33">
        <v>90001</v>
      </c>
      <c r="Y91" s="34">
        <f>110001+MAX(0,SUMIFS(INDEX(választott_kasztok,,10),INDEX(választott_kasztok,,1),$L91)-13)*35000</f>
        <v>110001</v>
      </c>
      <c r="Z91" s="10">
        <v>5</v>
      </c>
      <c r="AA91" s="10">
        <v>20</v>
      </c>
      <c r="AB91" s="10">
        <v>75</v>
      </c>
      <c r="AC91" s="10">
        <v>0</v>
      </c>
      <c r="AD91" s="10">
        <f>MAX(12,SUMIFS(INDEX(választott_kasztok,,10),INDEX(választott_kasztok,,1),$L91)*12)</f>
        <v>12</v>
      </c>
      <c r="AE91" s="10">
        <f t="shared" si="198"/>
        <v>5</v>
      </c>
      <c r="AF91" s="10">
        <f t="shared" si="198"/>
        <v>5</v>
      </c>
      <c r="AG91" s="20">
        <f>IF(AND(többes_kaszt=iker_kaszt,váltás_kezdet=0,váltás_kezdet&lt;&gt;""),0,4)</f>
        <v>4</v>
      </c>
      <c r="AH91" s="10">
        <f>MAX(7,IF(választott_kaszt_1=$L91,IF(váltás_kezdet="",VLOOKUP($L91,választott_kasztok,10,FALSE)*7,MIN(VLOOKUP($L91,választott_kasztok,10,FALSE),váltás_kezdet)*7+IF(többes_kaszt=iker_kaszt,MAX(0,VLOOKUP($L91,választott_kasztok,10,FALSE)-váltás_kezdet),0)+IF(többes_kaszt=váltott_kaszt,MAX(0,váltás_kezdet-VLOOKUP($L91,választott_kasztok,10,FALSE))*7)),0)+IF(választott_kaszt_2=$L91,VLOOKUP($L91,választott_kasztok,10,FALSE)*IF(többes_kaszt=iker_kaszt,1,7),0))</f>
        <v>7</v>
      </c>
      <c r="AI91" s="10">
        <v>0</v>
      </c>
      <c r="AJ91" s="10">
        <v>7</v>
      </c>
      <c r="AK91" s="10">
        <v>6</v>
      </c>
      <c r="AL91" s="10">
        <f t="shared" si="197"/>
        <v>11</v>
      </c>
      <c r="AM91" s="10"/>
      <c r="AN91" s="20" t="str">
        <f>IF(OR(SUMIFS(INDEX(választott_kasztok,,10),INDEX(választott_kasztok,,1),lovag)&gt;3,tanultAfTSZ&gt;0,tanultMfTSZ&gt;0),pyarroni,nincsen)</f>
        <v>nincs</v>
      </c>
      <c r="AO91" s="209" t="str">
        <f>TEXT(IF(tanultMfkaszt=0,IF(SUMIFS(INDEX(választott_kasztok,,10),INDEX(választott_kasztok,,1),$L91)&lt;12,0,12),IF(INDEX(választott_kasztok,tanultMfkaszt,1)=$L91,IF(OR(tanultMfTSZ=0,tanultMfTSZ&gt;MIN(12,SUMIFS(INDEX(választott_kasztok,,10),INDEX(választott_kasztok,,1),$L91))),IF(SUMIFS(INDEX(választott_kasztok,,10),INDEX(választott_kasztok,,1),$L91)&lt;12,0,12),MIN(12,tanultMfTSZ)),0)),"00")&amp;TEXT(IF(tanultAfkaszt=0,IF(SUMIFS(INDEX(választott_kasztok,,10),INDEX(választott_kasztok,,1),$L91)&lt;4,0,4),IF(INDEX(választott_kasztok,tanultAfkaszt,1)=$L91,IF(OR(tanultAfTSZ=0,tanultAfTSZ&gt;MIN(4,SUMIFS(INDEX(választott_kasztok,,10),INDEX(választott_kasztok,,1),$L91))),IF(SUMIFS(INDEX(választott_kasztok,,10),INDEX(választott_kasztok,,1),$L91)&lt;4,0,4),MIN(4,tanultAfTSZ)),0)),"00")&amp;"01"</f>
        <v>000001</v>
      </c>
      <c r="AP91" s="33">
        <v>0</v>
      </c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117">
        <f>110001+MAX(0,váltás_kezdet-13)*35000</f>
        <v>110001</v>
      </c>
      <c r="BB91" s="17">
        <f>MAX(SUMIFS(INDEX(dobások,,2),INDEX(dobások,,1),BX91)+SUMIFS(INDEX(fajok,,3),INDEX(fajok,,1),választott_faj),IF(AND(többes_kaszt=iker_kaszt,váltás_kezdet=1,választott_kaszt_1=$L91),SUMIFS(INDEX(kasztok,,43),INDEX(kasztok,,1),választott_kaszt_2),0))</f>
        <v>16</v>
      </c>
      <c r="BC91" s="17">
        <f>MAX(SUMIFS(INDEX(dobások,,2),INDEX(dobások,,1),BY91)+SUMIFS(INDEX(fajok,,4),INDEX(fajok,,1),választott_faj),IF(AND(többes_kaszt=iker_kaszt,váltás_kezdet=1,választott_kaszt_1=$L91),SUMIFS(INDEX(kasztok,,44),INDEX(kasztok,,1),választott_kaszt_2),0))</f>
        <v>11</v>
      </c>
      <c r="BD91" s="17">
        <f>MAX(SUMIFS(INDEX(dobások,,2),INDEX(dobások,,1),BZ91)+SUMIFS(INDEX(fajok,,5),INDEX(fajok,,1),választott_faj),IF(AND(többes_kaszt=iker_kaszt,váltás_kezdet=1,választott_kaszt_1=$L91),SUMIFS(INDEX(kasztok,,45),INDEX(kasztok,,1),választott_kaszt_2),0))</f>
        <v>11</v>
      </c>
      <c r="BE91" s="17">
        <f>MAX(SUMIFS(INDEX(dobások,,2),INDEX(dobások,,1),CA91)+SUMIFS(INDEX(fajok,,6),INDEX(fajok,,1),választott_faj),IF(AND(többes_kaszt=iker_kaszt,váltás_kezdet=1,választott_kaszt_1=$L91),SUMIFS(INDEX(kasztok,,46),INDEX(kasztok,,1),választott_kaszt_2),0))</f>
        <v>14</v>
      </c>
      <c r="BF91" s="116">
        <f>MAX(SUMIFS(INDEX(dobások,,2),INDEX(dobások,,1),CB91)+SUMIFS(INDEX(fajok,,7),INDEX(fajok,,1),választott_faj),IF(AND(többes_kaszt=iker_kaszt,váltás_kezdet=1,választott_kaszt_1=$L91),SUMIFS(INDEX(kasztok,,47),INDEX(kasztok,,1),választott_kaszt_2),0))</f>
        <v>16</v>
      </c>
      <c r="BG91" s="17">
        <f>MAX(SUMIFS(INDEX(dobások,,2),INDEX(dobások,,1),CC91)+SUMIFS(INDEX(fajok,,8),INDEX(fajok,,1),választott_faj),IF(AND(többes_kaszt=iker_kaszt,váltás_kezdet=1,választott_kaszt_1=$L91),SUMIFS(INDEX(kasztok,,48),INDEX(kasztok,,1),választott_kaszt_2),0))</f>
        <v>13</v>
      </c>
      <c r="BH91" s="17">
        <f>MAX(SUMIFS(INDEX(dobások,,2),INDEX(dobások,,1),CD91)+SUMIFS(INDEX(fajok,,9),INDEX(fajok,,1),választott_faj),IF(AND(többes_kaszt=iker_kaszt,váltás_kezdet=1,választott_kaszt_1=$L91),SUMIFS(INDEX(kasztok,,49),INDEX(kasztok,,1),választott_kaszt_2),0))</f>
        <v>13</v>
      </c>
      <c r="BI91" s="17">
        <f>MAX(SUMIFS(INDEX(dobások,,2),INDEX(dobások,,1),CE91),IF(AND(többes_kaszt=iker_kaszt,váltás_kezdet=1,választott_kaszt_1=$L91),SUMIFS(INDEX(kasztok,,50),INDEX(kasztok,,1),választott_kaszt_2),0))</f>
        <v>14</v>
      </c>
      <c r="BJ91" s="17">
        <f>MAX(SUMIFS(INDEX(dobások,,2),INDEX(dobások,,1),CF91)+SUMIFS(INDEX(fajok,,10),INDEX(fajok,,1),választott_faj),IF(AND(többes_kaszt=iker_kaszt,váltás_kezdet=1,választott_kaszt_1=$L91),SUMIFS(INDEX(kasztok,,51),INDEX(kasztok,,1),választott_kaszt_2),0))</f>
        <v>14</v>
      </c>
      <c r="BK91" s="17">
        <f>MAX(SUMIFS(INDEX(dobások,,2),INDEX(dobások,,1),CG91),IF(AND(többes_kaszt=iker_kaszt,váltás_kezdet=1,választott_kaszt_1=$L91),SUMIFS(INDEX(kasztok,,52),INDEX(kasztok,,1),választott_kaszt_2),0))</f>
        <v>13</v>
      </c>
      <c r="BL91" s="17">
        <f>MAX(0,SUM(tulajdonságok)-SUM($BB91:$BK91))</f>
        <v>0</v>
      </c>
      <c r="BM91" s="13">
        <f t="shared" ref="BM91" si="220">MAX(0,erő-(SUMIFS(INDEX(dobások,,4),INDEX(dobások,,1),BX91)+SUMIFS(INDEX(fajok,,3),INDEX(fajok,,1),választott_faj)))+MAX(0,gyorsaság-(SUMIFS(INDEX(dobások,,4),INDEX(dobások,,1),BY91)+SUMIFS(INDEX(fajok,,4),INDEX(fajok,,1),választott_faj)))+MAX(0,ügyesség-(SUMIFS(INDEX(dobások,,4),INDEX(dobások,,1),BZ91)+SUMIFS(INDEX(fajok,,5),INDEX(fajok,,1),választott_faj)))+MAX(0,állóképesség-(SUMIFS(INDEX(dobások,,4),INDEX(dobások,,1),CA91)+SUMIFS(INDEX(fajok,,6),INDEX(fajok,,1),választott_faj)))+MAX(0,egészség-(SUMIFS(INDEX(dobások,,4),INDEX(dobások,,1),CB91)+SUMIFS(INDEX(fajok,,7),INDEX(fajok,,1),választott_faj)))+MAX(0,szépség-(SUMIFS(INDEX(dobások,,4),INDEX(dobások,,1),CC91)+SUMIFS(INDEX(fajok,,8),INDEX(fajok,,1),választott_faj)))+MAX(0,intelligencia-(SUMIFS(INDEX(dobások,,4),INDEX(dobások,,1),CD91)+SUMIFS(INDEX(fajok,,9),INDEX(fajok,,1),választott_faj)))+MAX(0,akaraterő-SUMIFS(INDEX(dobások,,4),INDEX(dobások,,1),CE91))+MAX(0,asztrál-(SUMIFS(INDEX(dobások,,4),INDEX(dobások,,1),CF91)+SUMIFS(INDEX(fajok,,10),INDEX(fajok,,1),választott_faj)))+MAX(0,érzékelés-SUMIFS(INDEX(dobások,,4),INDEX(dobások,,1),CG91))</f>
        <v>0</v>
      </c>
      <c r="BN91" s="12" t="s">
        <v>262</v>
      </c>
      <c r="BO91" s="12"/>
      <c r="BP91" s="12"/>
      <c r="BQ91" s="12" t="s">
        <v>262</v>
      </c>
      <c r="BR91" s="12"/>
      <c r="BS91" s="12" t="s">
        <v>262</v>
      </c>
      <c r="BT91" s="12"/>
      <c r="BU91" s="12"/>
      <c r="BV91" s="12" t="s">
        <v>262</v>
      </c>
      <c r="BW91" s="51"/>
      <c r="BX91" s="12" t="s">
        <v>134</v>
      </c>
      <c r="BY91" s="12" t="s">
        <v>129</v>
      </c>
      <c r="BZ91" s="12" t="s">
        <v>129</v>
      </c>
      <c r="CA91" s="12" t="s">
        <v>132</v>
      </c>
      <c r="CB91" s="12" t="s">
        <v>135</v>
      </c>
      <c r="CC91" s="12" t="s">
        <v>131</v>
      </c>
      <c r="CD91" s="12" t="s">
        <v>131</v>
      </c>
      <c r="CE91" s="12" t="s">
        <v>132</v>
      </c>
      <c r="CF91" s="260" t="s">
        <v>132</v>
      </c>
      <c r="CG91" s="12" t="s">
        <v>131</v>
      </c>
      <c r="CH91" s="20">
        <v>3</v>
      </c>
      <c r="CI91" s="10">
        <v>12</v>
      </c>
      <c r="CJ91" s="148"/>
      <c r="CK91" s="63"/>
    </row>
    <row r="92" spans="1:89">
      <c r="A92" s="15" t="s">
        <v>277</v>
      </c>
      <c r="B92" s="52"/>
      <c r="C92" s="14">
        <v>13</v>
      </c>
      <c r="D92" s="14">
        <v>17</v>
      </c>
      <c r="E92" s="14">
        <v>31</v>
      </c>
      <c r="F92" s="14">
        <v>43</v>
      </c>
      <c r="G92" s="14">
        <v>56</v>
      </c>
      <c r="H92" s="16">
        <v>76</v>
      </c>
      <c r="I92" s="98" t="s">
        <v>684</v>
      </c>
      <c r="J92" s="624" t="s">
        <v>700</v>
      </c>
      <c r="K92" s="613"/>
      <c r="L92" s="266" t="s">
        <v>1262</v>
      </c>
      <c r="M92" s="33">
        <v>0</v>
      </c>
      <c r="N92" s="33">
        <v>151</v>
      </c>
      <c r="O92" s="33">
        <v>371</v>
      </c>
      <c r="P92" s="33">
        <v>801</v>
      </c>
      <c r="Q92" s="33">
        <v>1651</v>
      </c>
      <c r="R92" s="33">
        <v>3201</v>
      </c>
      <c r="S92" s="33">
        <v>6401</v>
      </c>
      <c r="T92" s="33">
        <v>12001</v>
      </c>
      <c r="U92" s="33">
        <v>25001</v>
      </c>
      <c r="V92" s="33">
        <v>45001</v>
      </c>
      <c r="W92" s="33">
        <v>65001</v>
      </c>
      <c r="X92" s="33">
        <v>90001</v>
      </c>
      <c r="Y92" s="34">
        <f>110001+MAX(0,SUMIFS(INDEX(választott_kasztok,,10),INDEX(választott_kasztok,,1),$L92)-13)*35000</f>
        <v>110001</v>
      </c>
      <c r="Z92" s="10">
        <v>5</v>
      </c>
      <c r="AA92" s="10">
        <v>20</v>
      </c>
      <c r="AB92" s="10">
        <v>75</v>
      </c>
      <c r="AC92" s="10">
        <v>0</v>
      </c>
      <c r="AD92" s="10">
        <f>MAX(12,SUMIFS(INDEX(választott_kasztok,,10),INDEX(választott_kasztok,,1),$L92)*12)</f>
        <v>12</v>
      </c>
      <c r="AE92" s="10">
        <f t="shared" si="198"/>
        <v>5</v>
      </c>
      <c r="AF92" s="10">
        <f t="shared" si="198"/>
        <v>5</v>
      </c>
      <c r="AG92" s="20">
        <f>IF(AND(többes_kaszt=iker_kaszt,váltás_kezdet=0,váltás_kezdet&lt;&gt;""),0,4)</f>
        <v>4</v>
      </c>
      <c r="AH92" s="10">
        <f>MAX(7,IF(választott_kaszt_1=$L92,IF(váltás_kezdet="",VLOOKUP($L92,választott_kasztok,10,FALSE)*7,MIN(VLOOKUP($L92,választott_kasztok,10,FALSE),váltás_kezdet)*7+IF(többes_kaszt=iker_kaszt,MAX(0,VLOOKUP($L92,választott_kasztok,10,FALSE)-váltás_kezdet),0)+IF(többes_kaszt=váltott_kaszt,MAX(0,váltás_kezdet-VLOOKUP($L92,választott_kasztok,10,FALSE))*7)),0)+IF(választott_kaszt_2=$L92,VLOOKUP($L92,választott_kasztok,10,FALSE)*IF(többes_kaszt=iker_kaszt,1,7),0))</f>
        <v>7</v>
      </c>
      <c r="AI92" s="10">
        <v>0</v>
      </c>
      <c r="AJ92" s="10">
        <v>7</v>
      </c>
      <c r="AK92" s="10">
        <v>6</v>
      </c>
      <c r="AL92" s="10">
        <f t="shared" si="197"/>
        <v>11</v>
      </c>
      <c r="AM92" s="10"/>
      <c r="AN92" s="20" t="str">
        <f>IF(OR(SUMIFS(INDEX(választott_kasztok,,10),INDEX(választott_kasztok,,1),lovag)&gt;2,tanultAfTSZ&gt;0,tanultMfTSZ&gt;0),pyarroni,nincsen)</f>
        <v>nincs</v>
      </c>
      <c r="AO92" s="209" t="str">
        <f>IF(tanultMfkaszt=0,"00",IF(INDEX(választott_kasztok,tanultMfkaszt,1)=$L92,TEXT(tanultMfTSZ,"00"),"00"))&amp;TEXT(IF(tanultAfkaszt=0,IF(SUMIFS(INDEX(választott_kasztok,,10),INDEX(választott_kasztok,,1),$L92)&lt;3,0,3),IF(INDEX(választott_kasztok,tanultAfkaszt,1)=$L92,IF(OR(tanultAfTSZ=0,tanultAfTSZ&gt;MIN(3,SUMIFS(INDEX(választott_kasztok,,10),INDEX(választott_kasztok,,1),$L92))),IF(SUMIFS(INDEX(választott_kasztok,,10),INDEX(választott_kasztok,,1),$L92)&lt;3,0,3),MIN(3,tanultAfTSZ)),0)),"00")&amp;"01"</f>
        <v>000001</v>
      </c>
      <c r="AP92" s="33">
        <v>0</v>
      </c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117">
        <f>110001+MAX(0,váltás_kezdet-13)*35000</f>
        <v>110001</v>
      </c>
      <c r="BB92" s="17">
        <f>MAX(SUMIFS(INDEX(dobások,,2),INDEX(dobások,,1),BX92)+SUMIFS(INDEX(fajok,,3),INDEX(fajok,,1),választott_faj),IF(AND(többes_kaszt=iker_kaszt,váltás_kezdet=1,választott_kaszt_1=$L92),SUMIFS(INDEX(kasztok,,43),INDEX(kasztok,,1),választott_kaszt_2),0))</f>
        <v>16</v>
      </c>
      <c r="BC92" s="17">
        <f>MAX(SUMIFS(INDEX(dobások,,2),INDEX(dobások,,1),BY92)+SUMIFS(INDEX(fajok,,4),INDEX(fajok,,1),választott_faj),IF(AND(többes_kaszt=iker_kaszt,váltás_kezdet=1,választott_kaszt_1=$L92),SUMIFS(INDEX(kasztok,,44),INDEX(kasztok,,1),választott_kaszt_2),0))</f>
        <v>11</v>
      </c>
      <c r="BD92" s="17">
        <f>MAX(SUMIFS(INDEX(dobások,,2),INDEX(dobások,,1),BZ92)+SUMIFS(INDEX(fajok,,5),INDEX(fajok,,1),választott_faj),IF(AND(többes_kaszt=iker_kaszt,váltás_kezdet=1,választott_kaszt_1=$L92),SUMIFS(INDEX(kasztok,,45),INDEX(kasztok,,1),választott_kaszt_2),0))</f>
        <v>11</v>
      </c>
      <c r="BE92" s="17">
        <f>MAX(SUMIFS(INDEX(dobások,,2),INDEX(dobások,,1),CA92)+SUMIFS(INDEX(fajok,,6),INDEX(fajok,,1),választott_faj),IF(AND(többes_kaszt=iker_kaszt,váltás_kezdet=1,választott_kaszt_1=$L92),SUMIFS(INDEX(kasztok,,46),INDEX(kasztok,,1),választott_kaszt_2),0))</f>
        <v>14</v>
      </c>
      <c r="BF92" s="116">
        <f>MAX(SUMIFS(INDEX(dobások,,2),INDEX(dobások,,1),CB92)+SUMIFS(INDEX(fajok,,7),INDEX(fajok,,1),választott_faj),IF(AND(többes_kaszt=iker_kaszt,váltás_kezdet=1,választott_kaszt_1=$L92),SUMIFS(INDEX(kasztok,,47),INDEX(kasztok,,1),választott_kaszt_2),0))</f>
        <v>16</v>
      </c>
      <c r="BG92" s="17">
        <f>MAX(SUMIFS(INDEX(dobások,,2),INDEX(dobások,,1),CC92)+SUMIFS(INDEX(fajok,,8),INDEX(fajok,,1),választott_faj),IF(AND(többes_kaszt=iker_kaszt,váltás_kezdet=1,választott_kaszt_1=$L92),SUMIFS(INDEX(kasztok,,48),INDEX(kasztok,,1),választott_kaszt_2),0))</f>
        <v>13</v>
      </c>
      <c r="BH92" s="17">
        <f>MAX(SUMIFS(INDEX(dobások,,2),INDEX(dobások,,1),CD92)+SUMIFS(INDEX(fajok,,9),INDEX(fajok,,1),választott_faj),IF(AND(többes_kaszt=iker_kaszt,váltás_kezdet=1,választott_kaszt_1=$L92),SUMIFS(INDEX(kasztok,,49),INDEX(kasztok,,1),választott_kaszt_2),0))</f>
        <v>13</v>
      </c>
      <c r="BI92" s="17">
        <f>MAX(SUMIFS(INDEX(dobások,,2),INDEX(dobások,,1),CE92),IF(AND(többes_kaszt=iker_kaszt,váltás_kezdet=1,választott_kaszt_1=$L92),SUMIFS(INDEX(kasztok,,50),INDEX(kasztok,,1),választott_kaszt_2),0))</f>
        <v>14</v>
      </c>
      <c r="BJ92" s="17">
        <f>MAX(SUMIFS(INDEX(dobások,,2),INDEX(dobások,,1),CF92)+SUMIFS(INDEX(fajok,,10),INDEX(fajok,,1),választott_faj),IF(AND(többes_kaszt=iker_kaszt,váltás_kezdet=1,választott_kaszt_1=$L92),SUMIFS(INDEX(kasztok,,51),INDEX(kasztok,,1),választott_kaszt_2),0))</f>
        <v>11</v>
      </c>
      <c r="BK92" s="17">
        <f>MAX(SUMIFS(INDEX(dobások,,2),INDEX(dobások,,1),CG92),IF(AND(többes_kaszt=iker_kaszt,váltás_kezdet=1,választott_kaszt_1=$L92),SUMIFS(INDEX(kasztok,,52),INDEX(kasztok,,1),választott_kaszt_2),0))</f>
        <v>13</v>
      </c>
      <c r="BL92" s="17">
        <f>MAX(0,SUM(tulajdonságok)-SUM($BB92:$BK92))</f>
        <v>0</v>
      </c>
      <c r="BM92" s="13">
        <f>MAX(0,erő-(SUMIFS(INDEX(dobások,,4),INDEX(dobások,,1),BX92)+SUMIFS(INDEX(fajok,,3),INDEX(fajok,,1),választott_faj)))+MAX(0,gyorsaság-(SUMIFS(INDEX(dobások,,4),INDEX(dobások,,1),BY92)+SUMIFS(INDEX(fajok,,4),INDEX(fajok,,1),választott_faj)))+MAX(0,ügyesség-(SUMIFS(INDEX(dobások,,4),INDEX(dobások,,1),BZ92)+SUMIFS(INDEX(fajok,,5),INDEX(fajok,,1),választott_faj)))+MAX(0,állóképesség-(SUMIFS(INDEX(dobások,,4),INDEX(dobások,,1),CA92)+SUMIFS(INDEX(fajok,,6),INDEX(fajok,,1),választott_faj)))+MAX(0,egészség-(SUMIFS(INDEX(dobások,,4),INDEX(dobások,,1),CB92)+SUMIFS(INDEX(fajok,,7),INDEX(fajok,,1),választott_faj)))+MAX(0,szépség-(SUMIFS(INDEX(dobások,,4),INDEX(dobások,,1),CC92)+SUMIFS(INDEX(fajok,,8),INDEX(fajok,,1),választott_faj)))+MAX(0,intelligencia-(SUMIFS(INDEX(dobások,,4),INDEX(dobások,,1),CD92)+SUMIFS(INDEX(fajok,,9),INDEX(fajok,,1),választott_faj)))+MAX(0,akaraterő-SUMIFS(INDEX(dobások,,4),INDEX(dobások,,1),CE92))+MAX(0,asztrál-(SUMIFS(INDEX(dobások,,4),INDEX(dobások,,1),CF92)+SUMIFS(INDEX(fajok,,10),INDEX(fajok,,1),választott_faj)))+MAX(0,érzékelés-SUMIFS(INDEX(dobások,,4),INDEX(dobások,,1),CG92))</f>
        <v>0</v>
      </c>
      <c r="BN92" s="12" t="s">
        <v>262</v>
      </c>
      <c r="BO92" s="12"/>
      <c r="BP92" s="12"/>
      <c r="BQ92" s="12" t="s">
        <v>262</v>
      </c>
      <c r="BR92" s="12"/>
      <c r="BS92" s="12" t="s">
        <v>262</v>
      </c>
      <c r="BT92" s="12"/>
      <c r="BU92" s="12"/>
      <c r="BV92" s="12"/>
      <c r="BW92" s="51"/>
      <c r="BX92" s="12" t="s">
        <v>134</v>
      </c>
      <c r="BY92" s="12" t="s">
        <v>129</v>
      </c>
      <c r="BZ92" s="12" t="s">
        <v>129</v>
      </c>
      <c r="CA92" s="12" t="s">
        <v>132</v>
      </c>
      <c r="CB92" s="12" t="s">
        <v>135</v>
      </c>
      <c r="CC92" s="12" t="s">
        <v>131</v>
      </c>
      <c r="CD92" s="12" t="s">
        <v>131</v>
      </c>
      <c r="CE92" s="12" t="s">
        <v>132</v>
      </c>
      <c r="CF92" s="12" t="s">
        <v>129</v>
      </c>
      <c r="CG92" s="12" t="s">
        <v>131</v>
      </c>
      <c r="CH92" s="20">
        <v>3</v>
      </c>
      <c r="CI92" s="10">
        <v>12</v>
      </c>
      <c r="CJ92" s="148"/>
      <c r="CK92" s="63"/>
    </row>
    <row r="93" spans="1:89" ht="15.75" thickBot="1">
      <c r="A93" s="15" t="s">
        <v>278</v>
      </c>
      <c r="B93" s="52"/>
      <c r="C93" s="14">
        <v>16</v>
      </c>
      <c r="D93" s="14">
        <v>23</v>
      </c>
      <c r="E93" s="14">
        <v>111</v>
      </c>
      <c r="F93" s="14">
        <v>131</v>
      </c>
      <c r="G93" s="14">
        <v>151</v>
      </c>
      <c r="H93" s="16">
        <v>171</v>
      </c>
      <c r="I93" s="98" t="s">
        <v>685</v>
      </c>
      <c r="J93" s="645" t="s">
        <v>701</v>
      </c>
      <c r="K93" s="623"/>
      <c r="L93" s="266" t="s">
        <v>1261</v>
      </c>
      <c r="M93" s="33">
        <v>0</v>
      </c>
      <c r="N93" s="33">
        <v>151</v>
      </c>
      <c r="O93" s="33">
        <v>371</v>
      </c>
      <c r="P93" s="33">
        <v>801</v>
      </c>
      <c r="Q93" s="33">
        <v>1651</v>
      </c>
      <c r="R93" s="33">
        <v>3201</v>
      </c>
      <c r="S93" s="33">
        <v>6401</v>
      </c>
      <c r="T93" s="33">
        <v>12001</v>
      </c>
      <c r="U93" s="33">
        <v>25001</v>
      </c>
      <c r="V93" s="33">
        <v>45001</v>
      </c>
      <c r="W93" s="33">
        <v>65001</v>
      </c>
      <c r="X93" s="33">
        <v>90001</v>
      </c>
      <c r="Y93" s="34">
        <f>110001+MAX(0,SUMIFS(INDEX(választott_kasztok,,10),INDEX(választott_kasztok,,1),$L93)-13)*35000</f>
        <v>110001</v>
      </c>
      <c r="Z93" s="10">
        <v>5</v>
      </c>
      <c r="AA93" s="10">
        <v>20</v>
      </c>
      <c r="AB93" s="10">
        <v>75</v>
      </c>
      <c r="AC93" s="10">
        <v>0</v>
      </c>
      <c r="AD93" s="10">
        <f>MAX(12,SUMIFS(INDEX(választott_kasztok,,10),INDEX(választott_kasztok,,1),$L93)*12)</f>
        <v>12</v>
      </c>
      <c r="AE93" s="10">
        <f t="shared" si="198"/>
        <v>5</v>
      </c>
      <c r="AF93" s="10">
        <f t="shared" si="198"/>
        <v>5</v>
      </c>
      <c r="AG93" s="20">
        <f>IF(AND(többes_kaszt=iker_kaszt,váltás_kezdet=0,váltás_kezdet&lt;&gt;""),0,4)</f>
        <v>4</v>
      </c>
      <c r="AH93" s="10">
        <f>MAX(7,IF(választott_kaszt_1=$L93,IF(váltás_kezdet="",VLOOKUP($L93,választott_kasztok,10,FALSE)*7,MIN(VLOOKUP($L93,választott_kasztok,10,FALSE),váltás_kezdet)*7+IF(többes_kaszt=iker_kaszt,MAX(0,VLOOKUP($L93,választott_kasztok,10,FALSE)-váltás_kezdet),0)+IF(többes_kaszt=váltott_kaszt,MAX(0,váltás_kezdet-VLOOKUP($L93,választott_kasztok,10,FALSE))*7)),0)+IF(választott_kaszt_2=$L93,VLOOKUP($L93,választott_kasztok,10,FALSE)*IF(többes_kaszt=iker_kaszt,1,7),0))</f>
        <v>7</v>
      </c>
      <c r="AI93" s="10">
        <v>0</v>
      </c>
      <c r="AJ93" s="10">
        <v>7</v>
      </c>
      <c r="AK93" s="10">
        <v>6</v>
      </c>
      <c r="AL93" s="10">
        <f t="shared" si="197"/>
        <v>11</v>
      </c>
      <c r="AM93" s="10"/>
      <c r="AN93" s="20" t="str">
        <f>IF(OR(SUMIFS(INDEX(választott_kasztok,,10),INDEX(választott_kasztok,,1),lovag)&gt;3,tanultAfTSZ&gt;0,tanultMfTSZ&gt;0),pyarroni,nincsen)</f>
        <v>nincs</v>
      </c>
      <c r="AO93" s="209" t="str">
        <f>TEXT(IF(tanultMfkaszt=0,IF(SUMIFS(INDEX(választott_kasztok,,10),INDEX(választott_kasztok,,1),$L93)&lt;12,0,12),IF(INDEX(választott_kasztok,tanultMfkaszt,1)=$L93,IF(OR(tanultMfTSZ=0,tanultMfTSZ&gt;MIN(12,SUMIFS(INDEX(választott_kasztok,,10),INDEX(választott_kasztok,,1),$L93))),IF(SUMIFS(INDEX(választott_kasztok,,10),INDEX(választott_kasztok,,1),$L93)&lt;12,0,12),MIN(12,tanultMfTSZ)),0)),"00")&amp;TEXT(IF(tanultAfkaszt=0,IF(SUMIFS(INDEX(választott_kasztok,,10),INDEX(választott_kasztok,,1),$L93)&lt;4,0,4),IF(INDEX(választott_kasztok,tanultAfkaszt,1)=$L93,IF(OR(tanultAfTSZ=0,tanultAfTSZ&gt;MIN(4,SUMIFS(INDEX(választott_kasztok,,10),INDEX(választott_kasztok,,1),$L93))),IF(SUMIFS(INDEX(választott_kasztok,,10),INDEX(választott_kasztok,,1),$L93)&lt;4,0,4),MIN(4,tanultAfTSZ)),0)),"00")&amp;"01"</f>
        <v>000001</v>
      </c>
      <c r="AP93" s="33">
        <v>0</v>
      </c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117">
        <f>110001+MAX(0,váltás_kezdet-13)*35000</f>
        <v>110001</v>
      </c>
      <c r="BB93" s="17">
        <f t="shared" si="209"/>
        <v>16</v>
      </c>
      <c r="BC93" s="17">
        <f t="shared" si="210"/>
        <v>11</v>
      </c>
      <c r="BD93" s="17">
        <f t="shared" si="211"/>
        <v>11</v>
      </c>
      <c r="BE93" s="17">
        <f t="shared" si="212"/>
        <v>14</v>
      </c>
      <c r="BF93" s="116">
        <f t="shared" si="213"/>
        <v>16</v>
      </c>
      <c r="BG93" s="17">
        <f t="shared" si="214"/>
        <v>13</v>
      </c>
      <c r="BH93" s="17">
        <f t="shared" si="215"/>
        <v>13</v>
      </c>
      <c r="BI93" s="17">
        <f t="shared" si="216"/>
        <v>14</v>
      </c>
      <c r="BJ93" s="17">
        <f t="shared" si="217"/>
        <v>11</v>
      </c>
      <c r="BK93" s="17">
        <f t="shared" si="218"/>
        <v>13</v>
      </c>
      <c r="BL93" s="17">
        <f t="shared" si="98"/>
        <v>0</v>
      </c>
      <c r="BM93" s="13">
        <f t="shared" si="219"/>
        <v>0</v>
      </c>
      <c r="BN93" s="12" t="s">
        <v>262</v>
      </c>
      <c r="BO93" s="12"/>
      <c r="BP93" s="12"/>
      <c r="BQ93" s="12" t="s">
        <v>262</v>
      </c>
      <c r="BR93" s="12"/>
      <c r="BS93" s="12" t="s">
        <v>262</v>
      </c>
      <c r="BT93" s="12"/>
      <c r="BU93" s="12"/>
      <c r="BV93" s="12"/>
      <c r="BW93" s="51"/>
      <c r="BX93" s="12" t="s">
        <v>134</v>
      </c>
      <c r="BY93" s="12" t="s">
        <v>129</v>
      </c>
      <c r="BZ93" s="12" t="s">
        <v>129</v>
      </c>
      <c r="CA93" s="12" t="s">
        <v>132</v>
      </c>
      <c r="CB93" s="12" t="s">
        <v>135</v>
      </c>
      <c r="CC93" s="12" t="s">
        <v>131</v>
      </c>
      <c r="CD93" s="12" t="s">
        <v>131</v>
      </c>
      <c r="CE93" s="12" t="s">
        <v>132</v>
      </c>
      <c r="CF93" s="12" t="s">
        <v>129</v>
      </c>
      <c r="CG93" s="12" t="s">
        <v>131</v>
      </c>
      <c r="CH93" s="20">
        <v>3</v>
      </c>
      <c r="CI93" s="10">
        <v>12</v>
      </c>
      <c r="CJ93" s="148"/>
      <c r="CK93" s="63"/>
    </row>
    <row r="94" spans="1:89">
      <c r="A94" s="15" t="s">
        <v>249</v>
      </c>
      <c r="B94" s="52"/>
      <c r="C94" s="14">
        <v>5</v>
      </c>
      <c r="D94" s="14">
        <v>10</v>
      </c>
      <c r="E94" s="14">
        <v>25</v>
      </c>
      <c r="F94" s="14">
        <v>30</v>
      </c>
      <c r="G94" s="14">
        <v>37</v>
      </c>
      <c r="H94" s="16">
        <v>42</v>
      </c>
      <c r="I94" s="137" t="s">
        <v>691</v>
      </c>
      <c r="J94" s="138"/>
      <c r="K94" s="95">
        <f>SUMIFS(INDEX(korkategóriák,,3),INDEX(korkategóriák,,1),választott_faj)</f>
        <v>0</v>
      </c>
      <c r="L94" s="261" t="s">
        <v>1008</v>
      </c>
      <c r="M94" s="33">
        <v>0</v>
      </c>
      <c r="N94" s="33">
        <v>161</v>
      </c>
      <c r="O94" s="33">
        <v>321</v>
      </c>
      <c r="P94" s="33">
        <v>641</v>
      </c>
      <c r="Q94" s="33">
        <v>1441</v>
      </c>
      <c r="R94" s="34">
        <v>2801</v>
      </c>
      <c r="S94" s="33">
        <v>5601</v>
      </c>
      <c r="T94" s="33">
        <v>10001</v>
      </c>
      <c r="U94" s="33">
        <v>20001</v>
      </c>
      <c r="V94" s="33">
        <v>40001</v>
      </c>
      <c r="W94" s="33">
        <v>60001</v>
      </c>
      <c r="X94" s="33">
        <v>80001</v>
      </c>
      <c r="Y94" s="34">
        <f>112001+MAX(0,SUMIFS(INDEX(választott_kasztok,,10),INDEX(választott_kasztok,,1),$L94)-13)*31200</f>
        <v>112001</v>
      </c>
      <c r="Z94" s="10">
        <v>10</v>
      </c>
      <c r="AA94" s="10">
        <v>20</v>
      </c>
      <c r="AB94" s="10">
        <v>75</v>
      </c>
      <c r="AC94" s="10">
        <v>5</v>
      </c>
      <c r="AD94" s="10">
        <f>MAX(11,SUMIFS(INDEX(választott_kasztok,,10),INDEX(választott_kasztok,,1),$L94)*11)</f>
        <v>11</v>
      </c>
      <c r="AE94" s="10">
        <f>MAX(2,SUMIFS(INDEX(választott_kasztok,,10),INDEX(választott_kasztok,,1),$L94)*2)</f>
        <v>2</v>
      </c>
      <c r="AF94" s="10">
        <f>MAX(2,SUMIFS(INDEX(választott_kasztok,,10),INDEX(választott_kasztok,,1),$L94)*2)</f>
        <v>2</v>
      </c>
      <c r="AG94" s="20">
        <f>IF(AND(többes_kaszt=iker_kaszt,váltás_kezdet=0,váltás_kezdet&lt;&gt;""),0,6)</f>
        <v>6</v>
      </c>
      <c r="AH94" s="10">
        <f>MAX(0,IF(választott_kaszt_1=$L94,IF(váltás_kezdet="",VLOOKUP($L94,választott_kasztok,10,FALSE)*12,MIN(VLOOKUP($L94,választott_kasztok,10,FALSE),váltás_kezdet)*12+IF(többes_kaszt=iker_kaszt,MAX(0,VLOOKUP($L94,választott_kasztok,10,FALSE)-váltás_kezdet),0)+IF(többes_kaszt=váltott_kaszt,MAX(0,váltás_kezdet-VLOOKUP($L94,választott_kasztok,10,FALSE))*12)),0)+IF(választott_kaszt_2=$L94,VLOOKUP($L94,választott_kasztok,10,FALSE)*IF(többes_kaszt=iker_kaszt,1,12),0))</f>
        <v>0</v>
      </c>
      <c r="AI94" s="10">
        <f>MAX(20,IF(AND(többes_kaszt=váltott_kaszt,választott_kaszt_1=$L94),váltás_kezdet*20,SUMIFS(INDEX(választott_kasztok,,10),INDEX(választott_kasztok,,1),$L94)*20))</f>
        <v>20</v>
      </c>
      <c r="AJ94" s="10">
        <v>7</v>
      </c>
      <c r="AK94" s="10">
        <v>6</v>
      </c>
      <c r="AL94" s="10">
        <f>MAX(1,SUMIFS(INDEX(választott_kasztok,,10),INDEX(választott_kasztok,,1),$L94))*(k6dobás+4)</f>
        <v>10</v>
      </c>
      <c r="AM94" s="10"/>
      <c r="AN94" s="20" t="str">
        <f>IF(OR(tanultAfTSZ&gt;0,tanultMfTSZ&gt;0),pyarroni,nincsen)</f>
        <v>nincs</v>
      </c>
      <c r="AO94" s="208" t="str">
        <f>IF(tanultMfkaszt=0,"00",IF(INDEX(választott_kasztok,tanultMfkaszt,1)=$L94,TEXT(tanultMfTSZ,"00"),"00"))&amp;IF(tanultAfkaszt=0,"00",IF(INDEX(választott_kasztok,tanultAfkaszt,1)=$L94,TEXT(tanultAfTSZ,"00"),"00"))&amp;"01"</f>
        <v>000001</v>
      </c>
      <c r="AP94" s="33">
        <v>0</v>
      </c>
      <c r="AQ94" s="56">
        <v>10</v>
      </c>
      <c r="AR94" s="56">
        <v>10</v>
      </c>
      <c r="AS94" s="56">
        <v>10</v>
      </c>
      <c r="AT94" s="56">
        <v>20</v>
      </c>
      <c r="AU94" s="56">
        <v>20</v>
      </c>
      <c r="AV94" s="56"/>
      <c r="AW94" s="56"/>
      <c r="AX94" s="56"/>
      <c r="AY94" s="56"/>
      <c r="AZ94" s="56"/>
      <c r="BA94" s="117">
        <f>112001+MAX(0,váltás_kezdet-13)*31200</f>
        <v>112001</v>
      </c>
      <c r="BB94" s="17">
        <f t="shared" si="199"/>
        <v>16</v>
      </c>
      <c r="BC94" s="17">
        <f t="shared" si="200"/>
        <v>13</v>
      </c>
      <c r="BD94" s="17">
        <f t="shared" si="201"/>
        <v>13</v>
      </c>
      <c r="BE94" s="17">
        <f t="shared" si="202"/>
        <v>14</v>
      </c>
      <c r="BF94" s="116">
        <f t="shared" si="203"/>
        <v>16</v>
      </c>
      <c r="BG94" s="17">
        <f t="shared" si="204"/>
        <v>11</v>
      </c>
      <c r="BH94" s="17">
        <f t="shared" si="205"/>
        <v>11</v>
      </c>
      <c r="BI94" s="17">
        <f t="shared" si="206"/>
        <v>13</v>
      </c>
      <c r="BJ94" s="17">
        <f t="shared" si="207"/>
        <v>11</v>
      </c>
      <c r="BK94" s="17">
        <f t="shared" si="208"/>
        <v>13</v>
      </c>
      <c r="BL94" s="17">
        <f t="shared" si="98"/>
        <v>0</v>
      </c>
      <c r="BM94" s="13">
        <f t="shared" ref="BM94" si="221">MAX(0,erő-(SUMIFS(INDEX(dobások,,4),INDEX(dobások,,1),BX94)+SUMIFS(INDEX(fajok,,3),INDEX(fajok,,1),választott_faj)))+MAX(0,gyorsaság-(SUMIFS(INDEX(dobások,,4),INDEX(dobások,,1),BY94)+SUMIFS(INDEX(fajok,,4),INDEX(fajok,,1),választott_faj)))+MAX(0,ügyesség-(SUMIFS(INDEX(dobások,,4),INDEX(dobások,,1),BZ94)+SUMIFS(INDEX(fajok,,5),INDEX(fajok,,1),választott_faj)))+MAX(0,állóképesség-(SUMIFS(INDEX(dobások,,4),INDEX(dobások,,1),CA94)+SUMIFS(INDEX(fajok,,6),INDEX(fajok,,1),választott_faj)))+MAX(0,egészség-(SUMIFS(INDEX(dobások,,4),INDEX(dobások,,1),CB94)+SUMIFS(INDEX(fajok,,7),INDEX(fajok,,1),választott_faj)))+MAX(0,szépség-(SUMIFS(INDEX(dobások,,4),INDEX(dobások,,1),CC94)+SUMIFS(INDEX(fajok,,8),INDEX(fajok,,1),választott_faj)))+MAX(0,intelligencia-(SUMIFS(INDEX(dobások,,4),INDEX(dobások,,1),CD94)+SUMIFS(INDEX(fajok,,9),INDEX(fajok,,1),választott_faj)))+MAX(0,akaraterő-SUMIFS(INDEX(dobások,,4),INDEX(dobások,,1),CE94))+MAX(0,asztrál-(SUMIFS(INDEX(dobások,,4),INDEX(dobások,,1),CF94)+SUMIFS(INDEX(fajok,,10),INDEX(fajok,,1),választott_faj)))+MAX(0,érzékelés-SUMIFS(INDEX(dobások,,4),INDEX(dobások,,1),CG94))</f>
        <v>0</v>
      </c>
      <c r="BN94" s="12" t="s">
        <v>262</v>
      </c>
      <c r="BO94" s="12" t="s">
        <v>262</v>
      </c>
      <c r="BP94" s="12" t="s">
        <v>262</v>
      </c>
      <c r="BQ94" s="12" t="s">
        <v>262</v>
      </c>
      <c r="BR94" s="12"/>
      <c r="BS94" s="12"/>
      <c r="BT94" s="12"/>
      <c r="BU94" s="12"/>
      <c r="BV94" s="12"/>
      <c r="BW94" s="51"/>
      <c r="BX94" s="12" t="s">
        <v>134</v>
      </c>
      <c r="BY94" s="12" t="s">
        <v>131</v>
      </c>
      <c r="BZ94" s="12" t="s">
        <v>131</v>
      </c>
      <c r="CA94" s="12" t="s">
        <v>132</v>
      </c>
      <c r="CB94" s="12" t="s">
        <v>135</v>
      </c>
      <c r="CC94" s="12" t="s">
        <v>129</v>
      </c>
      <c r="CD94" s="12" t="s">
        <v>129</v>
      </c>
      <c r="CE94" s="12" t="s">
        <v>131</v>
      </c>
      <c r="CF94" s="12" t="s">
        <v>129</v>
      </c>
      <c r="CG94" s="12" t="s">
        <v>131</v>
      </c>
      <c r="CH94" s="10">
        <v>3</v>
      </c>
      <c r="CI94" s="10">
        <v>18</v>
      </c>
      <c r="CJ94" s="148"/>
      <c r="CK94" s="63"/>
    </row>
    <row r="95" spans="1:89">
      <c r="A95" s="15" t="s">
        <v>985</v>
      </c>
      <c r="B95" s="52"/>
      <c r="C95" s="14">
        <v>17</v>
      </c>
      <c r="D95" s="14">
        <v>31</v>
      </c>
      <c r="E95" s="14">
        <v>43</v>
      </c>
      <c r="F95" s="14">
        <v>56</v>
      </c>
      <c r="G95" s="14">
        <v>76</v>
      </c>
      <c r="H95" s="16">
        <v>92</v>
      </c>
      <c r="I95" s="268" t="s">
        <v>692</v>
      </c>
      <c r="J95" s="274"/>
      <c r="K95" s="269">
        <f>INT(SUMIFS(INDEX(korkategóriák,,8),INDEX(korkategóriák,,1),választott_faj)*1.2+0.5)</f>
        <v>0</v>
      </c>
      <c r="L95" s="20" t="s">
        <v>371</v>
      </c>
      <c r="M95" s="34">
        <v>0</v>
      </c>
      <c r="N95" s="34">
        <v>161</v>
      </c>
      <c r="O95" s="34">
        <v>331</v>
      </c>
      <c r="P95" s="34">
        <v>661</v>
      </c>
      <c r="Q95" s="34">
        <v>1301</v>
      </c>
      <c r="R95" s="34">
        <v>2601</v>
      </c>
      <c r="S95" s="34">
        <v>5001</v>
      </c>
      <c r="T95" s="34">
        <v>9001</v>
      </c>
      <c r="U95" s="34">
        <v>23001</v>
      </c>
      <c r="V95" s="34">
        <v>50001</v>
      </c>
      <c r="W95" s="34">
        <v>90001</v>
      </c>
      <c r="X95" s="34">
        <v>130001</v>
      </c>
      <c r="Y95" s="34">
        <f>165001+MAX(0,SUMIFS(INDEX(választott_kasztok,,10),INDEX(választott_kasztok,,1),$L95)-13)*50000</f>
        <v>165001</v>
      </c>
      <c r="Z95" s="20">
        <v>5</v>
      </c>
      <c r="AA95" s="20">
        <v>17</v>
      </c>
      <c r="AB95" s="20">
        <v>72</v>
      </c>
      <c r="AC95" s="20">
        <v>0</v>
      </c>
      <c r="AD95" s="10">
        <f>MAX(8,SUMIFS(INDEX(választott_kasztok,,10),INDEX(választott_kasztok,,1),$L95)*8)</f>
        <v>8</v>
      </c>
      <c r="AE95" s="10">
        <f t="shared" ref="AE95:AF97" si="222">MAX(3,SUMIFS(INDEX(választott_kasztok,,10),INDEX(választott_kasztok,,1),$L95)*3)</f>
        <v>3</v>
      </c>
      <c r="AF95" s="10">
        <f t="shared" si="222"/>
        <v>3</v>
      </c>
      <c r="AG95" s="20">
        <f>IF(AND(többes_kaszt=iker_kaszt,váltás_kezdet=0,váltás_kezdet&lt;&gt;""),0,6)</f>
        <v>6</v>
      </c>
      <c r="AH95" s="10">
        <f>MAX(10,IF(választott_kaszt_1=$L95,IF(váltás_kezdet="",VLOOKUP($L95,választott_kasztok,10,FALSE)*10,MIN(VLOOKUP($L95,választott_kasztok,10,FALSE),váltás_kezdet)*10+IF(többes_kaszt=iker_kaszt,MAX(0,VLOOKUP($L95,választott_kasztok,10,FALSE)-váltás_kezdet),0)+IF(többes_kaszt=váltott_kaszt,MAX(0,váltás_kezdet-VLOOKUP($L95,választott_kasztok,10,FALSE))*10)),0)+IF(választott_kaszt_2=$L95,VLOOKUP($L95,választott_kasztok,10,FALSE)*IF(többes_kaszt=iker_kaszt,1,10),0))</f>
        <v>10</v>
      </c>
      <c r="AI95" s="20">
        <v>0</v>
      </c>
      <c r="AJ95" s="20">
        <v>6</v>
      </c>
      <c r="AK95" s="20">
        <v>6</v>
      </c>
      <c r="AL95" s="10">
        <f>MAX(1,SUMIFS(INDEX(választott_kasztok,,10),INDEX(választott_kasztok,,1),$L95))*(k6dobás+2)</f>
        <v>8</v>
      </c>
      <c r="AM95" s="10">
        <f>MAX(9,MIN(1,SUMIFS(INDEX(választott_kasztok,,10),INDEX(választott_kasztok,,1),$L95))*9+MAX(0,SUMIFS(INDEX(választott_kasztok,,10),INDEX(választott_kasztok,,1),$L95)-1)*(6+ROUNDUP(k6dobás/2,0)))</f>
        <v>9</v>
      </c>
      <c r="AN95" s="20" t="s">
        <v>1183</v>
      </c>
      <c r="AO95" s="209"/>
      <c r="AP95" s="34">
        <v>0</v>
      </c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117">
        <f>165001+MAX(0,váltás_kezdet-13)*50000</f>
        <v>165001</v>
      </c>
      <c r="BB95" s="17">
        <f t="shared" si="199"/>
        <v>13</v>
      </c>
      <c r="BC95" s="17">
        <f t="shared" si="200"/>
        <v>11</v>
      </c>
      <c r="BD95" s="17">
        <f t="shared" si="201"/>
        <v>11</v>
      </c>
      <c r="BE95" s="17">
        <f t="shared" si="202"/>
        <v>13</v>
      </c>
      <c r="BF95" s="17">
        <f t="shared" si="203"/>
        <v>14</v>
      </c>
      <c r="BG95" s="116">
        <f t="shared" si="204"/>
        <v>16</v>
      </c>
      <c r="BH95" s="17">
        <f t="shared" si="205"/>
        <v>14</v>
      </c>
      <c r="BI95" s="17">
        <f t="shared" si="206"/>
        <v>14</v>
      </c>
      <c r="BJ95" s="17">
        <f t="shared" si="207"/>
        <v>16</v>
      </c>
      <c r="BK95" s="17">
        <f t="shared" si="208"/>
        <v>14</v>
      </c>
      <c r="BL95" s="17">
        <f t="shared" si="98"/>
        <v>0</v>
      </c>
      <c r="BM95" s="13">
        <f t="shared" ref="BM95:BM132" si="223">MAX(0,erő-(SUMIFS(INDEX(dobások,,4),INDEX(dobások,,1),BX95)+SUMIFS(INDEX(fajok,,3),INDEX(fajok,,1),választott_faj)))+MAX(0,gyorsaság-(SUMIFS(INDEX(dobások,,4),INDEX(dobások,,1),BY95)+SUMIFS(INDEX(fajok,,4),INDEX(fajok,,1),választott_faj)))+MAX(0,ügyesség-(SUMIFS(INDEX(dobások,,4),INDEX(dobások,,1),BZ95)+SUMIFS(INDEX(fajok,,5),INDEX(fajok,,1),választott_faj)))+MAX(0,állóképesség-(SUMIFS(INDEX(dobások,,4),INDEX(dobások,,1),CA95)+SUMIFS(INDEX(fajok,,6),INDEX(fajok,,1),választott_faj)))+MAX(0,egészség-(SUMIFS(INDEX(dobások,,4),INDEX(dobások,,1),CB95)+SUMIFS(INDEX(fajok,,7),INDEX(fajok,,1),választott_faj)))+MAX(0,szépség-(SUMIFS(INDEX(dobások,,4),INDEX(dobások,,1),CC95)+SUMIFS(INDEX(fajok,,8),INDEX(fajok,,1),választott_faj)))+MAX(0,intelligencia-(SUMIFS(INDEX(dobások,,4),INDEX(dobások,,1),CD95)+SUMIFS(INDEX(fajok,,9),INDEX(fajok,,1),választott_faj)))+MAX(0,akaraterő-SUMIFS(INDEX(dobások,,4),INDEX(dobások,,1),CE95))+MAX(0,asztrál-(SUMIFS(INDEX(dobások,,4),INDEX(dobások,,1),CF95)+SUMIFS(INDEX(fajok,,10),INDEX(fajok,,1),választott_faj)))+MAX(0,érzékelés-SUMIFS(INDEX(dobások,,4),INDEX(dobások,,1),CG95))</f>
        <v>0</v>
      </c>
      <c r="BN95" s="12"/>
      <c r="BO95" s="12"/>
      <c r="BP95" s="12"/>
      <c r="BQ95" s="12"/>
      <c r="BR95" s="12"/>
      <c r="BS95" s="12"/>
      <c r="BT95" s="12"/>
      <c r="BU95" s="12" t="s">
        <v>262</v>
      </c>
      <c r="BV95" s="12" t="s">
        <v>262</v>
      </c>
      <c r="BW95" s="51"/>
      <c r="BX95" s="12" t="s">
        <v>131</v>
      </c>
      <c r="BY95" s="12" t="s">
        <v>129</v>
      </c>
      <c r="BZ95" s="12" t="s">
        <v>129</v>
      </c>
      <c r="CA95" s="12" t="s">
        <v>131</v>
      </c>
      <c r="CB95" s="12" t="s">
        <v>132</v>
      </c>
      <c r="CC95" s="12" t="s">
        <v>135</v>
      </c>
      <c r="CD95" s="12" t="s">
        <v>132</v>
      </c>
      <c r="CE95" s="12" t="s">
        <v>132</v>
      </c>
      <c r="CF95" s="12" t="s">
        <v>134</v>
      </c>
      <c r="CG95" s="12" t="s">
        <v>132</v>
      </c>
      <c r="CH95" s="20">
        <v>5</v>
      </c>
      <c r="CI95" s="10">
        <v>6</v>
      </c>
      <c r="CJ95" s="148"/>
      <c r="CK95" s="63"/>
    </row>
    <row r="96" spans="1:89">
      <c r="A96" s="15" t="s">
        <v>280</v>
      </c>
      <c r="B96" s="52"/>
      <c r="C96" s="14">
        <v>25</v>
      </c>
      <c r="D96" s="14">
        <v>41</v>
      </c>
      <c r="E96" s="14">
        <v>351</v>
      </c>
      <c r="F96" s="14">
        <v>601</v>
      </c>
      <c r="G96" s="14">
        <v>681</v>
      </c>
      <c r="H96" s="16">
        <v>751</v>
      </c>
      <c r="I96" s="268" t="s">
        <v>693</v>
      </c>
      <c r="J96" s="274"/>
      <c r="K96" s="96" t="str">
        <f>IF(választott_faj="","",IF(kor&lt;kormin,"",INDEX(kategóriák,,MATCH(kor,INDEX(évek,MATCH(választott_faj,INDEX(korkategóriák,,1),0),0),1))))</f>
        <v/>
      </c>
      <c r="L96" s="20" t="s">
        <v>372</v>
      </c>
      <c r="M96" s="34">
        <v>0</v>
      </c>
      <c r="N96" s="34">
        <v>161</v>
      </c>
      <c r="O96" s="34">
        <v>331</v>
      </c>
      <c r="P96" s="34">
        <v>661</v>
      </c>
      <c r="Q96" s="34">
        <v>1301</v>
      </c>
      <c r="R96" s="34">
        <v>2601</v>
      </c>
      <c r="S96" s="34">
        <v>5001</v>
      </c>
      <c r="T96" s="34">
        <v>9001</v>
      </c>
      <c r="U96" s="34">
        <v>23001</v>
      </c>
      <c r="V96" s="34">
        <v>50001</v>
      </c>
      <c r="W96" s="34">
        <v>90001</v>
      </c>
      <c r="X96" s="34">
        <v>130001</v>
      </c>
      <c r="Y96" s="34">
        <f>165001+MAX(0,SUMIFS(INDEX(választott_kasztok,,10),INDEX(választott_kasztok,,1),$L96)-13)*50000</f>
        <v>165001</v>
      </c>
      <c r="Z96" s="20">
        <v>5</v>
      </c>
      <c r="AA96" s="20">
        <v>17</v>
      </c>
      <c r="AB96" s="20">
        <v>72</v>
      </c>
      <c r="AC96" s="20">
        <v>0</v>
      </c>
      <c r="AD96" s="10">
        <f>MAX(8,SUMIFS(INDEX(választott_kasztok,,10),INDEX(választott_kasztok,,1),$L96)*8)</f>
        <v>8</v>
      </c>
      <c r="AE96" s="10">
        <f t="shared" si="222"/>
        <v>3</v>
      </c>
      <c r="AF96" s="10">
        <f t="shared" si="222"/>
        <v>3</v>
      </c>
      <c r="AG96" s="20">
        <f>IF(AND(többes_kaszt=iker_kaszt,váltás_kezdet=0,váltás_kezdet&lt;&gt;""),0,6)</f>
        <v>6</v>
      </c>
      <c r="AH96" s="10">
        <f>MAX(10,IF(választott_kaszt_1=$L96,IF(váltás_kezdet="",VLOOKUP($L96,választott_kasztok,10,FALSE)*10,MIN(VLOOKUP($L96,választott_kasztok,10,FALSE),váltás_kezdet)*10+IF(többes_kaszt=iker_kaszt,MAX(0,VLOOKUP($L96,választott_kasztok,10,FALSE)-váltás_kezdet),0)+IF(többes_kaszt=váltott_kaszt,MAX(0,váltás_kezdet-VLOOKUP($L96,választott_kasztok,10,FALSE))*10)),0)+IF(választott_kaszt_2=$L96,VLOOKUP($L96,választott_kasztok,10,FALSE)*IF(többes_kaszt=iker_kaszt,1,10),0))</f>
        <v>10</v>
      </c>
      <c r="AI96" s="20">
        <v>0</v>
      </c>
      <c r="AJ96" s="20">
        <v>6</v>
      </c>
      <c r="AK96" s="20">
        <v>6</v>
      </c>
      <c r="AL96" s="10">
        <f>MAX(1,SUMIFS(INDEX(választott_kasztok,,10),INDEX(választott_kasztok,,1),$L96))*(k6dobás+2)</f>
        <v>8</v>
      </c>
      <c r="AM96" s="10">
        <f>MAX(9,MIN(1,SUMIFS(INDEX(választott_kasztok,,10),INDEX(választott_kasztok,,1),$L96))*9+MAX(0,SUMIFS(INDEX(választott_kasztok,,10),INDEX(választott_kasztok,,1),$L96)-1)*(6+ROUNDUP(k6dobás/2,0)))</f>
        <v>9</v>
      </c>
      <c r="AN96" s="20" t="s">
        <v>1183</v>
      </c>
      <c r="AO96" s="209"/>
      <c r="AP96" s="34">
        <v>0</v>
      </c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117">
        <f>165001+MAX(0,váltás_kezdet-13)*50000</f>
        <v>165001</v>
      </c>
      <c r="BB96" s="17">
        <f t="shared" si="199"/>
        <v>13</v>
      </c>
      <c r="BC96" s="17">
        <f t="shared" si="200"/>
        <v>11</v>
      </c>
      <c r="BD96" s="17">
        <f t="shared" si="201"/>
        <v>11</v>
      </c>
      <c r="BE96" s="17">
        <f t="shared" si="202"/>
        <v>13</v>
      </c>
      <c r="BF96" s="17">
        <f t="shared" si="203"/>
        <v>14</v>
      </c>
      <c r="BG96" s="116">
        <f t="shared" si="204"/>
        <v>16</v>
      </c>
      <c r="BH96" s="17">
        <f t="shared" si="205"/>
        <v>14</v>
      </c>
      <c r="BI96" s="17">
        <f t="shared" si="206"/>
        <v>14</v>
      </c>
      <c r="BJ96" s="17">
        <f t="shared" si="207"/>
        <v>16</v>
      </c>
      <c r="BK96" s="17">
        <f t="shared" si="208"/>
        <v>14</v>
      </c>
      <c r="BL96" s="17">
        <f t="shared" si="98"/>
        <v>0</v>
      </c>
      <c r="BM96" s="13">
        <f t="shared" si="223"/>
        <v>0</v>
      </c>
      <c r="BN96" s="12"/>
      <c r="BO96" s="12"/>
      <c r="BP96" s="12"/>
      <c r="BQ96" s="12"/>
      <c r="BR96" s="12"/>
      <c r="BS96" s="12"/>
      <c r="BT96" s="12"/>
      <c r="BU96" s="12" t="s">
        <v>262</v>
      </c>
      <c r="BV96" s="12" t="s">
        <v>262</v>
      </c>
      <c r="BW96" s="51"/>
      <c r="BX96" s="12" t="s">
        <v>131</v>
      </c>
      <c r="BY96" s="12" t="s">
        <v>129</v>
      </c>
      <c r="BZ96" s="12" t="s">
        <v>129</v>
      </c>
      <c r="CA96" s="12" t="s">
        <v>131</v>
      </c>
      <c r="CB96" s="12" t="s">
        <v>132</v>
      </c>
      <c r="CC96" s="12" t="s">
        <v>135</v>
      </c>
      <c r="CD96" s="12" t="s">
        <v>132</v>
      </c>
      <c r="CE96" s="12" t="s">
        <v>132</v>
      </c>
      <c r="CF96" s="12" t="s">
        <v>134</v>
      </c>
      <c r="CG96" s="12" t="s">
        <v>132</v>
      </c>
      <c r="CH96" s="20">
        <v>5</v>
      </c>
      <c r="CI96" s="10">
        <v>6</v>
      </c>
      <c r="CJ96" s="148"/>
      <c r="CK96" s="63"/>
    </row>
    <row r="97" spans="1:89">
      <c r="A97" s="15" t="s">
        <v>279</v>
      </c>
      <c r="B97" s="52"/>
      <c r="C97" s="14">
        <v>15</v>
      </c>
      <c r="D97" s="14">
        <v>20</v>
      </c>
      <c r="E97" s="14">
        <v>121</v>
      </c>
      <c r="F97" s="14">
        <v>201</v>
      </c>
      <c r="G97" s="14">
        <v>231</v>
      </c>
      <c r="H97" s="16">
        <v>261</v>
      </c>
      <c r="I97" s="268"/>
      <c r="J97" s="274"/>
      <c r="K97" s="96"/>
      <c r="L97" s="261" t="s">
        <v>317</v>
      </c>
      <c r="M97" s="33">
        <v>0</v>
      </c>
      <c r="N97" s="33">
        <v>161</v>
      </c>
      <c r="O97" s="33">
        <v>321</v>
      </c>
      <c r="P97" s="33">
        <v>641</v>
      </c>
      <c r="Q97" s="33">
        <v>1441</v>
      </c>
      <c r="R97" s="34">
        <v>2801</v>
      </c>
      <c r="S97" s="33">
        <v>5601</v>
      </c>
      <c r="T97" s="33">
        <v>10001</v>
      </c>
      <c r="U97" s="33">
        <v>20001</v>
      </c>
      <c r="V97" s="33">
        <v>40001</v>
      </c>
      <c r="W97" s="33">
        <v>60001</v>
      </c>
      <c r="X97" s="33">
        <v>80001</v>
      </c>
      <c r="Y97" s="34">
        <f>112001+MAX(0,SUMIFS(INDEX(választott_kasztok,,10),INDEX(választott_kasztok,,1),$L97)-13)*31200</f>
        <v>112001</v>
      </c>
      <c r="Z97" s="10">
        <v>9</v>
      </c>
      <c r="AA97" s="10">
        <v>20</v>
      </c>
      <c r="AB97" s="10">
        <v>75</v>
      </c>
      <c r="AC97" s="10">
        <v>20</v>
      </c>
      <c r="AD97" s="10">
        <f>MAX(11,SUMIFS(INDEX(választott_kasztok,,10),INDEX(választott_kasztok,,1),$L97)*11)</f>
        <v>11</v>
      </c>
      <c r="AE97" s="10">
        <f t="shared" si="222"/>
        <v>3</v>
      </c>
      <c r="AF97" s="10">
        <f t="shared" si="222"/>
        <v>3</v>
      </c>
      <c r="AG97" s="20">
        <f>IF(AND(többes_kaszt=iker_kaszt,váltás_kezdet=0,váltás_kezdet&lt;&gt;""),0,10)</f>
        <v>10</v>
      </c>
      <c r="AH97" s="10">
        <f>MAX(0,IF(választott_kaszt_1=$L97,IF(váltás_kezdet="",VLOOKUP($L97,választott_kasztok,10,FALSE)*14,MIN(VLOOKUP($L97,választott_kasztok,10,FALSE),váltás_kezdet)*14+IF(többes_kaszt=iker_kaszt,MAX(0,VLOOKUP($L97,választott_kasztok,10,FALSE)-váltás_kezdet),0)+IF(többes_kaszt=váltott_kaszt,MAX(0,váltás_kezdet-VLOOKUP($L97,választott_kasztok,10,FALSE))*14)),0)+IF(választott_kaszt_2=$L97,VLOOKUP($L97,választott_kasztok,10,FALSE)*IF(többes_kaszt=iker_kaszt,1,14),0))</f>
        <v>0</v>
      </c>
      <c r="AI97" s="10">
        <v>0</v>
      </c>
      <c r="AJ97" s="10">
        <v>7</v>
      </c>
      <c r="AK97" s="10">
        <v>6</v>
      </c>
      <c r="AL97" s="10">
        <f>MAX(1,SUMIFS(INDEX(választott_kasztok,,10),INDEX(választott_kasztok,,1),$L97))*(k6dobás+4)</f>
        <v>10</v>
      </c>
      <c r="AM97" s="10"/>
      <c r="AN97" s="20" t="str">
        <f>IF(OR(tanultAfTSZ&gt;0,tanultMfTSZ&gt;0),pyarroni,nincsen)</f>
        <v>nincs</v>
      </c>
      <c r="AO97" s="208" t="str">
        <f>IF(tanultMfkaszt=0,"00",IF(INDEX(választott_kasztok,tanultMfkaszt,1)=$L97,TEXT(tanultMfTSZ,"00"),"00"))&amp;IF(tanultAfkaszt=0,"00",IF(INDEX(választott_kasztok,tanultAfkaszt,1)=$L97,TEXT(tanultAfTSZ,"00"),"00"))&amp;"01"</f>
        <v>000001</v>
      </c>
      <c r="AP97" s="33">
        <v>0</v>
      </c>
      <c r="AQ97" s="56"/>
      <c r="AR97" s="56"/>
      <c r="AS97" s="56">
        <v>10</v>
      </c>
      <c r="AT97" s="56"/>
      <c r="AU97" s="56"/>
      <c r="AV97" s="56"/>
      <c r="AW97" s="56"/>
      <c r="AX97" s="56"/>
      <c r="AY97" s="56"/>
      <c r="AZ97" s="56"/>
      <c r="BA97" s="117">
        <f>112001+MAX(0,váltás_kezdet-13)*31200</f>
        <v>112001</v>
      </c>
      <c r="BB97" s="17">
        <f t="shared" si="199"/>
        <v>16</v>
      </c>
      <c r="BC97" s="17">
        <f t="shared" si="200"/>
        <v>13</v>
      </c>
      <c r="BD97" s="17">
        <f t="shared" si="201"/>
        <v>13</v>
      </c>
      <c r="BE97" s="17">
        <f t="shared" si="202"/>
        <v>14</v>
      </c>
      <c r="BF97" s="116">
        <f t="shared" si="203"/>
        <v>16</v>
      </c>
      <c r="BG97" s="17">
        <f t="shared" si="204"/>
        <v>11</v>
      </c>
      <c r="BH97" s="17">
        <f t="shared" si="205"/>
        <v>11</v>
      </c>
      <c r="BI97" s="17">
        <f t="shared" si="206"/>
        <v>13</v>
      </c>
      <c r="BJ97" s="17">
        <f t="shared" si="207"/>
        <v>11</v>
      </c>
      <c r="BK97" s="17">
        <f t="shared" si="208"/>
        <v>13</v>
      </c>
      <c r="BL97" s="17">
        <f t="shared" si="98"/>
        <v>0</v>
      </c>
      <c r="BM97" s="13">
        <f t="shared" si="223"/>
        <v>0</v>
      </c>
      <c r="BN97" s="12" t="s">
        <v>262</v>
      </c>
      <c r="BO97" s="12" t="s">
        <v>262</v>
      </c>
      <c r="BP97" s="12" t="s">
        <v>262</v>
      </c>
      <c r="BQ97" s="12" t="s">
        <v>262</v>
      </c>
      <c r="BR97" s="12"/>
      <c r="BS97" s="12"/>
      <c r="BT97" s="12"/>
      <c r="BU97" s="12"/>
      <c r="BV97" s="12"/>
      <c r="BW97" s="51"/>
      <c r="BX97" s="12" t="s">
        <v>134</v>
      </c>
      <c r="BY97" s="12" t="s">
        <v>131</v>
      </c>
      <c r="BZ97" s="12" t="s">
        <v>131</v>
      </c>
      <c r="CA97" s="12" t="s">
        <v>132</v>
      </c>
      <c r="CB97" s="12" t="s">
        <v>135</v>
      </c>
      <c r="CC97" s="12" t="s">
        <v>129</v>
      </c>
      <c r="CD97" s="12" t="s">
        <v>129</v>
      </c>
      <c r="CE97" s="12" t="s">
        <v>131</v>
      </c>
      <c r="CF97" s="12" t="s">
        <v>129</v>
      </c>
      <c r="CG97" s="12" t="s">
        <v>131</v>
      </c>
      <c r="CH97" s="10">
        <v>3</v>
      </c>
      <c r="CI97" s="10">
        <v>18</v>
      </c>
      <c r="CJ97" s="148"/>
      <c r="CK97" s="63"/>
    </row>
    <row r="98" spans="1:89" ht="15.75" thickBot="1">
      <c r="A98" s="15" t="s">
        <v>281</v>
      </c>
      <c r="B98" s="52"/>
      <c r="C98" s="14">
        <v>13</v>
      </c>
      <c r="D98" s="14">
        <v>17</v>
      </c>
      <c r="E98" s="14">
        <v>31</v>
      </c>
      <c r="F98" s="14">
        <v>43</v>
      </c>
      <c r="G98" s="14">
        <v>56</v>
      </c>
      <c r="H98" s="27">
        <v>76</v>
      </c>
      <c r="I98" s="272"/>
      <c r="J98" s="282"/>
      <c r="K98" s="273"/>
      <c r="L98" s="20" t="s">
        <v>366</v>
      </c>
      <c r="M98" s="34">
        <v>0</v>
      </c>
      <c r="N98" s="34">
        <v>161</v>
      </c>
      <c r="O98" s="34">
        <v>331</v>
      </c>
      <c r="P98" s="34">
        <v>661</v>
      </c>
      <c r="Q98" s="34">
        <v>1301</v>
      </c>
      <c r="R98" s="34">
        <v>2601</v>
      </c>
      <c r="S98" s="34">
        <v>5001</v>
      </c>
      <c r="T98" s="34">
        <v>9001</v>
      </c>
      <c r="U98" s="34">
        <v>23001</v>
      </c>
      <c r="V98" s="34">
        <v>50001</v>
      </c>
      <c r="W98" s="34">
        <v>90001</v>
      </c>
      <c r="X98" s="34">
        <v>130001</v>
      </c>
      <c r="Y98" s="34">
        <f>165001+MAX(0,SUMIFS(INDEX(választott_kasztok,,10),INDEX(választott_kasztok,,1),$L98)-13)*50000</f>
        <v>165001</v>
      </c>
      <c r="Z98" s="20">
        <v>5</v>
      </c>
      <c r="AA98" s="20">
        <v>16</v>
      </c>
      <c r="AB98" s="20">
        <v>72</v>
      </c>
      <c r="AC98" s="20">
        <v>0</v>
      </c>
      <c r="AD98" s="10">
        <f>MAX(8,SUMIFS(INDEX(választott_kasztok,,10),INDEX(választott_kasztok,,1),$L98)*8)</f>
        <v>8</v>
      </c>
      <c r="AE98" s="37">
        <f>MAX(0,SUMIFS(INDEX(választott_kasztok,,10),INDEX(választott_kasztok,,1),$L98)*0)</f>
        <v>0</v>
      </c>
      <c r="AF98" s="10">
        <f>MAX(3,SUMIFS(INDEX(választott_kasztok,,10),INDEX(választott_kasztok,,1),$L98)*3)</f>
        <v>3</v>
      </c>
      <c r="AG98" s="20">
        <f>IF(AND(többes_kaszt=iker_kaszt,váltás_kezdet=0,váltás_kezdet&lt;&gt;""),0,8)</f>
        <v>8</v>
      </c>
      <c r="AH98" s="10">
        <f>MAX(0,IF(választott_kaszt_1=$L98,IF(váltás_kezdet="",VLOOKUP($L98,választott_kasztok,10,FALSE)*8,MIN(VLOOKUP($L98,választott_kasztok,10,FALSE),váltás_kezdet)*8+IF(többes_kaszt=iker_kaszt,MAX(0,VLOOKUP($L98,választott_kasztok,10,FALSE)-váltás_kezdet),0)+IF(többes_kaszt=váltott_kaszt,MAX(0,váltás_kezdet-VLOOKUP($L98,választott_kasztok,10,FALSE))*8)),0)+IF(választott_kaszt_2=$L98,VLOOKUP($L98,választott_kasztok,10,FALSE)*IF(többes_kaszt=iker_kaszt,1,8),0))</f>
        <v>0</v>
      </c>
      <c r="AI98" s="20">
        <v>0</v>
      </c>
      <c r="AJ98" s="20">
        <v>5</v>
      </c>
      <c r="AK98" s="20">
        <v>5</v>
      </c>
      <c r="AL98" s="10">
        <f>MAX(1,SUMIFS(INDEX(választott_kasztok,,10),INDEX(választott_kasztok,,1),$L98))*(k6dobás+1)</f>
        <v>7</v>
      </c>
      <c r="AM98" s="10">
        <f>MAX(9,MIN(1,SUMIFS(INDEX(választott_kasztok,,10),INDEX(választott_kasztok,,1),$L98))*9+MAX(0,SUMIFS(INDEX(választott_kasztok,,10),INDEX(választott_kasztok,,1),$L98)-1)*(6+ROUNDUP(k6dobás/2,0)))</f>
        <v>9</v>
      </c>
      <c r="AN98" s="20" t="s">
        <v>1183</v>
      </c>
      <c r="AO98" s="209"/>
      <c r="AP98" s="33">
        <v>0</v>
      </c>
      <c r="AQ98" s="56"/>
      <c r="AR98" s="56"/>
      <c r="AS98" s="56"/>
      <c r="AT98" s="56">
        <v>15</v>
      </c>
      <c r="AU98" s="56"/>
      <c r="AV98" s="56"/>
      <c r="AW98" s="56"/>
      <c r="AX98" s="56"/>
      <c r="AY98" s="56"/>
      <c r="AZ98" s="56"/>
      <c r="BA98" s="117">
        <f>165001+MAX(0,váltás_kezdet-13)*50000</f>
        <v>165001</v>
      </c>
      <c r="BB98" s="17">
        <f t="shared" si="199"/>
        <v>13</v>
      </c>
      <c r="BC98" s="17">
        <f t="shared" si="200"/>
        <v>11</v>
      </c>
      <c r="BD98" s="17">
        <f t="shared" si="201"/>
        <v>11</v>
      </c>
      <c r="BE98" s="17">
        <f t="shared" si="202"/>
        <v>13</v>
      </c>
      <c r="BF98" s="17">
        <f t="shared" si="203"/>
        <v>14</v>
      </c>
      <c r="BG98" s="116">
        <f t="shared" si="204"/>
        <v>16</v>
      </c>
      <c r="BH98" s="17">
        <f t="shared" si="205"/>
        <v>14</v>
      </c>
      <c r="BI98" s="17">
        <f t="shared" si="206"/>
        <v>14</v>
      </c>
      <c r="BJ98" s="17">
        <f t="shared" si="207"/>
        <v>16</v>
      </c>
      <c r="BK98" s="17">
        <f t="shared" si="208"/>
        <v>14</v>
      </c>
      <c r="BL98" s="17">
        <f t="shared" si="98"/>
        <v>0</v>
      </c>
      <c r="BM98" s="13">
        <f t="shared" si="223"/>
        <v>0</v>
      </c>
      <c r="BN98" s="12"/>
      <c r="BO98" s="12"/>
      <c r="BP98" s="12"/>
      <c r="BQ98" s="12"/>
      <c r="BR98" s="12"/>
      <c r="BS98" s="12"/>
      <c r="BT98" s="12"/>
      <c r="BU98" s="12" t="s">
        <v>262</v>
      </c>
      <c r="BV98" s="12" t="s">
        <v>262</v>
      </c>
      <c r="BW98" s="51"/>
      <c r="BX98" s="12" t="s">
        <v>131</v>
      </c>
      <c r="BY98" s="12" t="s">
        <v>129</v>
      </c>
      <c r="BZ98" s="12" t="s">
        <v>129</v>
      </c>
      <c r="CA98" s="12" t="s">
        <v>131</v>
      </c>
      <c r="CB98" s="12" t="s">
        <v>132</v>
      </c>
      <c r="CC98" s="12" t="s">
        <v>135</v>
      </c>
      <c r="CD98" s="12" t="s">
        <v>132</v>
      </c>
      <c r="CE98" s="12" t="s">
        <v>132</v>
      </c>
      <c r="CF98" s="12" t="s">
        <v>134</v>
      </c>
      <c r="CG98" s="12" t="s">
        <v>132</v>
      </c>
      <c r="CH98" s="20">
        <v>5</v>
      </c>
      <c r="CI98" s="10">
        <v>6</v>
      </c>
      <c r="CJ98" s="148"/>
      <c r="CK98" s="63"/>
    </row>
    <row r="99" spans="1:89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0" t="s">
        <v>367</v>
      </c>
      <c r="M99" s="34">
        <v>0</v>
      </c>
      <c r="N99" s="34">
        <v>161</v>
      </c>
      <c r="O99" s="34">
        <v>331</v>
      </c>
      <c r="P99" s="34">
        <v>661</v>
      </c>
      <c r="Q99" s="34">
        <v>1301</v>
      </c>
      <c r="R99" s="34">
        <v>2601</v>
      </c>
      <c r="S99" s="34">
        <v>5001</v>
      </c>
      <c r="T99" s="34">
        <v>9001</v>
      </c>
      <c r="U99" s="34">
        <v>23001</v>
      </c>
      <c r="V99" s="34">
        <v>50001</v>
      </c>
      <c r="W99" s="34">
        <v>90001</v>
      </c>
      <c r="X99" s="34">
        <v>130001</v>
      </c>
      <c r="Y99" s="34">
        <f>165001+MAX(0,SUMIFS(INDEX(választott_kasztok,,10),INDEX(választott_kasztok,,1),$L99)-13)*50000</f>
        <v>165001</v>
      </c>
      <c r="Z99" s="20">
        <v>5</v>
      </c>
      <c r="AA99" s="20">
        <v>16</v>
      </c>
      <c r="AB99" s="20">
        <v>72</v>
      </c>
      <c r="AC99" s="20">
        <v>0</v>
      </c>
      <c r="AD99" s="10">
        <f>MAX(8,SUMIFS(INDEX(választott_kasztok,,10),INDEX(választott_kasztok,,1),$L99)*8)</f>
        <v>8</v>
      </c>
      <c r="AE99" s="37">
        <f>MAX(0,SUMIFS(INDEX(választott_kasztok,,10),INDEX(választott_kasztok,,1),$L99)*0)</f>
        <v>0</v>
      </c>
      <c r="AF99" s="10">
        <f>MAX(3,SUMIFS(INDEX(választott_kasztok,,10),INDEX(választott_kasztok,,1),$L99)*3)</f>
        <v>3</v>
      </c>
      <c r="AG99" s="20">
        <f>IF(AND(többes_kaszt=iker_kaszt,váltás_kezdet=0,váltás_kezdet&lt;&gt;""),0,8)</f>
        <v>8</v>
      </c>
      <c r="AH99" s="10">
        <f>MAX(0,IF(választott_kaszt_1=$L99,IF(váltás_kezdet="",VLOOKUP($L99,választott_kasztok,10,FALSE)*8,MIN(VLOOKUP($L99,választott_kasztok,10,FALSE),váltás_kezdet)*8+IF(többes_kaszt=iker_kaszt,MAX(0,VLOOKUP($L99,választott_kasztok,10,FALSE)-váltás_kezdet),0)+IF(többes_kaszt=váltott_kaszt,MAX(0,váltás_kezdet-VLOOKUP($L99,választott_kasztok,10,FALSE))*8)),0)+IF(választott_kaszt_2=$L99,VLOOKUP($L99,választott_kasztok,10,FALSE)*IF(többes_kaszt=iker_kaszt,1,8),0))</f>
        <v>0</v>
      </c>
      <c r="AI99" s="20">
        <v>0</v>
      </c>
      <c r="AJ99" s="20">
        <v>5</v>
      </c>
      <c r="AK99" s="20">
        <v>5</v>
      </c>
      <c r="AL99" s="10">
        <f>MAX(1,SUMIFS(INDEX(választott_kasztok,,10),INDEX(választott_kasztok,,1),$L99))*(k6dobás+1)</f>
        <v>7</v>
      </c>
      <c r="AM99" s="10">
        <f>MAX(9,MIN(1,SUMIFS(INDEX(választott_kasztok,,10),INDEX(választott_kasztok,,1),$L99))*9+MAX(0,SUMIFS(INDEX(választott_kasztok,,10),INDEX(választott_kasztok,,1),$L99)-1)*(6+ROUNDUP(k6dobás/2,0)))</f>
        <v>9</v>
      </c>
      <c r="AN99" s="20" t="s">
        <v>1183</v>
      </c>
      <c r="AO99" s="209"/>
      <c r="AP99" s="33">
        <v>0</v>
      </c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117">
        <f>165001+MAX(0,váltás_kezdet-13)*50000</f>
        <v>165001</v>
      </c>
      <c r="BB99" s="17">
        <f t="shared" si="199"/>
        <v>13</v>
      </c>
      <c r="BC99" s="17">
        <f t="shared" si="200"/>
        <v>11</v>
      </c>
      <c r="BD99" s="17">
        <f t="shared" si="201"/>
        <v>11</v>
      </c>
      <c r="BE99" s="17">
        <f t="shared" si="202"/>
        <v>13</v>
      </c>
      <c r="BF99" s="17">
        <f t="shared" si="203"/>
        <v>14</v>
      </c>
      <c r="BG99" s="116">
        <f t="shared" si="204"/>
        <v>16</v>
      </c>
      <c r="BH99" s="17">
        <f t="shared" si="205"/>
        <v>14</v>
      </c>
      <c r="BI99" s="17">
        <f t="shared" si="206"/>
        <v>14</v>
      </c>
      <c r="BJ99" s="17">
        <f t="shared" si="207"/>
        <v>16</v>
      </c>
      <c r="BK99" s="17">
        <f t="shared" si="208"/>
        <v>14</v>
      </c>
      <c r="BL99" s="17">
        <f t="shared" ref="BL99:BL133" si="224">MAX(0,SUM(tulajdonságok)-SUM($BB99:$BK99))</f>
        <v>0</v>
      </c>
      <c r="BM99" s="13">
        <f t="shared" si="223"/>
        <v>0</v>
      </c>
      <c r="BN99" s="12"/>
      <c r="BO99" s="12"/>
      <c r="BP99" s="12"/>
      <c r="BQ99" s="12"/>
      <c r="BR99" s="12"/>
      <c r="BS99" s="12"/>
      <c r="BT99" s="12"/>
      <c r="BU99" s="12" t="s">
        <v>262</v>
      </c>
      <c r="BV99" s="12" t="s">
        <v>262</v>
      </c>
      <c r="BW99" s="51"/>
      <c r="BX99" s="12" t="s">
        <v>131</v>
      </c>
      <c r="BY99" s="12" t="s">
        <v>129</v>
      </c>
      <c r="BZ99" s="12" t="s">
        <v>129</v>
      </c>
      <c r="CA99" s="12" t="s">
        <v>131</v>
      </c>
      <c r="CB99" s="12" t="s">
        <v>132</v>
      </c>
      <c r="CC99" s="12" t="s">
        <v>135</v>
      </c>
      <c r="CD99" s="12" t="s">
        <v>132</v>
      </c>
      <c r="CE99" s="12" t="s">
        <v>132</v>
      </c>
      <c r="CF99" s="12" t="s">
        <v>134</v>
      </c>
      <c r="CG99" s="12" t="s">
        <v>132</v>
      </c>
      <c r="CH99" s="20">
        <v>5</v>
      </c>
      <c r="CI99" s="10">
        <v>6</v>
      </c>
      <c r="CJ99" s="148"/>
      <c r="CK99" s="63"/>
    </row>
    <row r="100" spans="1:89" ht="15.75" thickBo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261" t="s">
        <v>1006</v>
      </c>
      <c r="M100" s="34">
        <v>0</v>
      </c>
      <c r="N100" s="34">
        <v>161</v>
      </c>
      <c r="O100" s="34">
        <v>321</v>
      </c>
      <c r="P100" s="34">
        <v>641</v>
      </c>
      <c r="Q100" s="34">
        <v>1441</v>
      </c>
      <c r="R100" s="34">
        <v>2801</v>
      </c>
      <c r="S100" s="34">
        <v>5601</v>
      </c>
      <c r="T100" s="34">
        <v>10001</v>
      </c>
      <c r="U100" s="34">
        <v>20001</v>
      </c>
      <c r="V100" s="34">
        <v>40001</v>
      </c>
      <c r="W100" s="34">
        <v>60001</v>
      </c>
      <c r="X100" s="34">
        <v>80001</v>
      </c>
      <c r="Y100" s="34">
        <f>112001+MAX(0,SUMIFS(INDEX(választott_kasztok,,10),INDEX(választott_kasztok,,1),$L100)-13)*31200</f>
        <v>112001</v>
      </c>
      <c r="Z100" s="10">
        <v>9</v>
      </c>
      <c r="AA100" s="10">
        <v>20</v>
      </c>
      <c r="AB100" s="10">
        <v>75</v>
      </c>
      <c r="AC100" s="10">
        <v>25</v>
      </c>
      <c r="AD100" s="10">
        <f>MAX(11,SUMIFS(INDEX(választott_kasztok,,10),INDEX(választott_kasztok,,1),$L100)*11)</f>
        <v>11</v>
      </c>
      <c r="AE100" s="10">
        <f t="shared" ref="AE100:AF100" si="225">MAX(3,SUMIFS(INDEX(választott_kasztok,,10),INDEX(választott_kasztok,,1),$L100)*3)</f>
        <v>3</v>
      </c>
      <c r="AF100" s="10">
        <f t="shared" si="225"/>
        <v>3</v>
      </c>
      <c r="AG100" s="20">
        <f>IF(AND(többes_kaszt=iker_kaszt,váltás_kezdet=0,váltás_kezdet&lt;&gt;""),0,6)</f>
        <v>6</v>
      </c>
      <c r="AH100" s="10">
        <f>MAX(0,IF(választott_kaszt_1=$L100,IF(váltás_kezdet="",VLOOKUP($L100,választott_kasztok,10,FALSE)*8,MIN(VLOOKUP($L100,választott_kasztok,10,FALSE),váltás_kezdet)*8+IF(többes_kaszt=iker_kaszt,MAX(0,VLOOKUP($L100,választott_kasztok,10,FALSE)-váltás_kezdet),0)+IF(többes_kaszt=váltott_kaszt,MAX(0,váltás_kezdet-VLOOKUP($L100,választott_kasztok,10,FALSE))*8)),0)+IF(választott_kaszt_2=$L100,VLOOKUP($L100,választott_kasztok,10,FALSE)*IF(többes_kaszt=iker_kaszt,1,8),0))</f>
        <v>0</v>
      </c>
      <c r="AI100" s="10">
        <v>0</v>
      </c>
      <c r="AJ100" s="10">
        <v>7</v>
      </c>
      <c r="AK100" s="10">
        <v>8</v>
      </c>
      <c r="AL100" s="10">
        <f>MAX(1,SUMIFS(INDEX(választott_kasztok,,10),INDEX(választott_kasztok,,1),$L100))*(k6dobás+5)</f>
        <v>11</v>
      </c>
      <c r="AM100" s="10"/>
      <c r="AN100" s="20" t="str">
        <f>IF(OR(tanultAfTSZ&gt;0,tanultMfTSZ&gt;0),pyarroni,egyedi)</f>
        <v>Egyedi</v>
      </c>
      <c r="AO100" s="208" t="str">
        <f>IF($AN100=pyarroni,IF(tanultMfkaszt=0,"00",IF(INDEX(választott_kasztok,tanultMfkaszt,1)=$L100,TEXT(tanultMfTSZ,"00"),"00"))&amp;IF(tanultAfkaszt=0,"00",IF(INDEX(választott_kasztok,tanultAfkaszt,1)=$L100,TEXT(tanultAfTSZ,"00"),"00"))&amp;"01","")</f>
        <v/>
      </c>
      <c r="AP100" s="33">
        <v>0</v>
      </c>
      <c r="AQ100" s="56"/>
      <c r="AR100" s="56">
        <f>IF(SUMIFS(INDEX(választott_kasztok,,10),INDEX(választott_kasztok,,1),$L100)&gt;=2,25,0)</f>
        <v>0</v>
      </c>
      <c r="AS100" s="56">
        <f>IF(SUMIFS(INDEX(választott_kasztok,,10),INDEX(választott_kasztok,,1),$L100)&gt;=2,10,0)</f>
        <v>0</v>
      </c>
      <c r="AT100" s="56"/>
      <c r="AU100" s="56"/>
      <c r="AV100" s="56"/>
      <c r="AW100" s="56"/>
      <c r="AX100" s="56"/>
      <c r="AY100" s="56"/>
      <c r="AZ100" s="56"/>
      <c r="BA100" s="117">
        <f>112001+MAX(0,váltás_kezdet-13)*31200</f>
        <v>112001</v>
      </c>
      <c r="BB100" s="17">
        <f t="shared" si="199"/>
        <v>13</v>
      </c>
      <c r="BC100" s="17">
        <f t="shared" si="200"/>
        <v>13</v>
      </c>
      <c r="BD100" s="17">
        <f t="shared" si="201"/>
        <v>13</v>
      </c>
      <c r="BE100" s="17">
        <f t="shared" si="202"/>
        <v>16</v>
      </c>
      <c r="BF100" s="116">
        <f t="shared" si="203"/>
        <v>16</v>
      </c>
      <c r="BG100" s="17">
        <f t="shared" si="204"/>
        <v>10</v>
      </c>
      <c r="BH100" s="17">
        <f t="shared" si="205"/>
        <v>10</v>
      </c>
      <c r="BI100" s="17">
        <f t="shared" si="206"/>
        <v>14</v>
      </c>
      <c r="BJ100" s="17">
        <f t="shared" si="207"/>
        <v>10</v>
      </c>
      <c r="BK100" s="17">
        <f t="shared" si="208"/>
        <v>13</v>
      </c>
      <c r="BL100" s="17">
        <f t="shared" si="98"/>
        <v>0</v>
      </c>
      <c r="BM100" s="13">
        <f t="shared" si="223"/>
        <v>0</v>
      </c>
      <c r="BN100" s="12"/>
      <c r="BO100" s="12" t="s">
        <v>262</v>
      </c>
      <c r="BP100" s="12"/>
      <c r="BQ100" s="12"/>
      <c r="BR100" s="12"/>
      <c r="BS100" s="12"/>
      <c r="BT100" s="12"/>
      <c r="BU100" s="12"/>
      <c r="BV100" s="12"/>
      <c r="BW100" s="51"/>
      <c r="BX100" s="12" t="s">
        <v>131</v>
      </c>
      <c r="BY100" s="12" t="s">
        <v>131</v>
      </c>
      <c r="BZ100" s="12" t="s">
        <v>131</v>
      </c>
      <c r="CA100" s="12" t="s">
        <v>134</v>
      </c>
      <c r="CB100" s="12" t="s">
        <v>135</v>
      </c>
      <c r="CC100" s="12" t="s">
        <v>128</v>
      </c>
      <c r="CD100" s="12" t="s">
        <v>128</v>
      </c>
      <c r="CE100" s="12" t="s">
        <v>132</v>
      </c>
      <c r="CF100" s="12" t="s">
        <v>128</v>
      </c>
      <c r="CG100" s="12" t="s">
        <v>131</v>
      </c>
      <c r="CH100" s="10">
        <v>3</v>
      </c>
      <c r="CI100" s="10">
        <v>18</v>
      </c>
      <c r="CJ100" s="148"/>
      <c r="CK100" s="63"/>
    </row>
    <row r="101" spans="1:89" ht="15.75">
      <c r="A101" s="625" t="s">
        <v>694</v>
      </c>
      <c r="B101" s="626"/>
      <c r="C101" s="649" t="s">
        <v>695</v>
      </c>
      <c r="D101" s="637"/>
      <c r="E101" s="637"/>
      <c r="F101" s="637"/>
      <c r="G101" s="637"/>
      <c r="H101" s="637"/>
      <c r="I101" s="637"/>
      <c r="J101" s="637"/>
      <c r="K101" s="617"/>
      <c r="L101" s="10" t="s">
        <v>318</v>
      </c>
      <c r="M101" s="33">
        <v>0</v>
      </c>
      <c r="N101" s="33">
        <v>166</v>
      </c>
      <c r="O101" s="33">
        <v>341</v>
      </c>
      <c r="P101" s="33">
        <v>691</v>
      </c>
      <c r="Q101" s="33">
        <v>1451</v>
      </c>
      <c r="R101" s="33">
        <v>3501</v>
      </c>
      <c r="S101" s="33">
        <v>7651</v>
      </c>
      <c r="T101" s="33">
        <v>13801</v>
      </c>
      <c r="U101" s="33">
        <v>27001</v>
      </c>
      <c r="V101" s="33">
        <v>50001</v>
      </c>
      <c r="W101" s="33">
        <v>97501</v>
      </c>
      <c r="X101" s="33">
        <v>147001</v>
      </c>
      <c r="Y101" s="34">
        <f>192001+MAX(0,SUMIFS(INDEX(választott_kasztok,,10),INDEX(választott_kasztok,,1),$L101)-13)*55000</f>
        <v>192001</v>
      </c>
      <c r="Z101" s="10">
        <v>4</v>
      </c>
      <c r="AA101" s="10">
        <v>15</v>
      </c>
      <c r="AB101" s="10">
        <v>70</v>
      </c>
      <c r="AC101" s="10">
        <v>0</v>
      </c>
      <c r="AD101" s="10">
        <f>MAX(5,SUMIFS(INDEX(választott_kasztok,,10),INDEX(választott_kasztok,,1),$L101)*5)</f>
        <v>5</v>
      </c>
      <c r="AE101" s="10">
        <f>MAX(1,SUMIFS(INDEX(választott_kasztok,,10),INDEX(választott_kasztok,,1),$L101)*1)</f>
        <v>1</v>
      </c>
      <c r="AF101" s="10">
        <f>MAX(1,SUMIFS(INDEX(választott_kasztok,,10),INDEX(választott_kasztok,,1),$L101)*1)</f>
        <v>1</v>
      </c>
      <c r="AG101" s="20">
        <f>IF(AND(többes_kaszt=iker_kaszt,váltás_kezdet=0,váltás_kezdet&lt;&gt;""),0,3)</f>
        <v>3</v>
      </c>
      <c r="AH101" s="10">
        <f>MAX(0,IF(választott_kaszt_1=$L101,IF(váltás_kezdet="",VLOOKUP($L101,választott_kasztok,10,FALSE)*4,MIN(VLOOKUP($L101,választott_kasztok,10,FALSE),váltás_kezdet)*4+IF(többes_kaszt=iker_kaszt,MAX(0,VLOOKUP($L101,választott_kasztok,10,FALSE)-váltás_kezdet),0)+IF(többes_kaszt=váltott_kaszt,MAX(0,váltás_kezdet-VLOOKUP($L101,választott_kasztok,10,FALSE))*4)),0)+IF(választott_kaszt_2=$L101,VLOOKUP($L101,választott_kasztok,10,FALSE)*IF(többes_kaszt=iker_kaszt,1,4),0))</f>
        <v>0</v>
      </c>
      <c r="AI101" s="20">
        <v>0</v>
      </c>
      <c r="AJ101" s="10">
        <v>4</v>
      </c>
      <c r="AK101" s="10">
        <v>6</v>
      </c>
      <c r="AL101" s="10">
        <f>MAX(1,SUMIFS(INDEX(választott_kasztok,,10),INDEX(választott_kasztok,,1),$L101))*(k6dobás+2)</f>
        <v>8</v>
      </c>
      <c r="AM101" s="10">
        <f>MAX(7,MIN(1,SUMIFS(INDEX(választott_kasztok,,10),INDEX(választott_kasztok,,1),$L101))*7+MAX(0,SUMIFS(INDEX(választott_kasztok,,10),INDEX(választott_kasztok,,1),$L101)-1)*MAX(0,akaraterő-10))</f>
        <v>7</v>
      </c>
      <c r="AN101" s="20" t="str">
        <f>IF(OR(tanultAfTSZ&gt;0,tanultMfTSZ&gt;0),pyarroni,egyedi)</f>
        <v>Egyedi</v>
      </c>
      <c r="AO101" s="208" t="str">
        <f>IF($AN101=pyarroni,IF(tanultMfkaszt=0,"00",IF(INDEX(választott_kasztok,tanultMfkaszt,1)=$L101,TEXT(tanultMfTSZ,"00"),"00"))&amp;IF(tanultAfkaszt=0,"00",IF(INDEX(választott_kasztok,tanultAfkaszt,1)=$L101,TEXT(tanultAfTSZ,"00"),"00"))&amp;"01","")</f>
        <v/>
      </c>
      <c r="AP101" s="33">
        <v>0</v>
      </c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117">
        <f>192001+MAX(0,váltás_kezdet-13)*55000</f>
        <v>192001</v>
      </c>
      <c r="BB101" s="17">
        <f t="shared" si="199"/>
        <v>11</v>
      </c>
      <c r="BC101" s="17">
        <f t="shared" si="200"/>
        <v>11</v>
      </c>
      <c r="BD101" s="17">
        <f t="shared" si="201"/>
        <v>11</v>
      </c>
      <c r="BE101" s="17">
        <f t="shared" si="202"/>
        <v>13</v>
      </c>
      <c r="BF101" s="17">
        <f t="shared" si="203"/>
        <v>12</v>
      </c>
      <c r="BG101" s="17">
        <f t="shared" si="204"/>
        <v>10</v>
      </c>
      <c r="BH101" s="17">
        <f t="shared" si="205"/>
        <v>13</v>
      </c>
      <c r="BI101" s="17">
        <f t="shared" si="206"/>
        <v>16</v>
      </c>
      <c r="BJ101" s="17">
        <f t="shared" si="207"/>
        <v>14</v>
      </c>
      <c r="BK101" s="17">
        <f t="shared" si="208"/>
        <v>14</v>
      </c>
      <c r="BL101" s="17">
        <f t="shared" si="224"/>
        <v>0</v>
      </c>
      <c r="BM101" s="13">
        <f t="shared" si="223"/>
        <v>0</v>
      </c>
      <c r="BN101" s="12"/>
      <c r="BO101" s="12"/>
      <c r="BP101" s="12"/>
      <c r="BQ101" s="12"/>
      <c r="BR101" s="12"/>
      <c r="BS101" s="12"/>
      <c r="BT101" s="12"/>
      <c r="BU101" s="12" t="s">
        <v>262</v>
      </c>
      <c r="BV101" s="12" t="s">
        <v>262</v>
      </c>
      <c r="BW101" s="51"/>
      <c r="BX101" s="12" t="s">
        <v>264</v>
      </c>
      <c r="BY101" s="12" t="s">
        <v>129</v>
      </c>
      <c r="BZ101" s="12" t="s">
        <v>129</v>
      </c>
      <c r="CA101" s="12" t="s">
        <v>131</v>
      </c>
      <c r="CB101" s="12" t="s">
        <v>130</v>
      </c>
      <c r="CC101" s="12" t="s">
        <v>128</v>
      </c>
      <c r="CD101" s="12" t="s">
        <v>131</v>
      </c>
      <c r="CE101" s="12" t="s">
        <v>134</v>
      </c>
      <c r="CF101" s="12" t="s">
        <v>132</v>
      </c>
      <c r="CG101" s="12" t="s">
        <v>132</v>
      </c>
      <c r="CH101" s="20">
        <v>1</v>
      </c>
      <c r="CI101" s="10">
        <v>6</v>
      </c>
      <c r="CJ101" s="148"/>
      <c r="CK101" s="63"/>
    </row>
    <row r="102" spans="1:89" ht="15.75">
      <c r="A102" s="54" t="s">
        <v>688</v>
      </c>
      <c r="B102" s="45" t="s">
        <v>121</v>
      </c>
      <c r="C102" s="186" t="s">
        <v>112</v>
      </c>
      <c r="D102" s="186" t="s">
        <v>113</v>
      </c>
      <c r="E102" s="186" t="s">
        <v>114</v>
      </c>
      <c r="F102" s="186" t="s">
        <v>115</v>
      </c>
      <c r="G102" s="186" t="s">
        <v>116</v>
      </c>
      <c r="H102" s="186" t="s">
        <v>117</v>
      </c>
      <c r="I102" s="186" t="s">
        <v>118</v>
      </c>
      <c r="J102" s="186" t="s">
        <v>120</v>
      </c>
      <c r="K102" s="47" t="s">
        <v>119</v>
      </c>
      <c r="L102" s="261" t="s">
        <v>319</v>
      </c>
      <c r="M102" s="33">
        <v>0</v>
      </c>
      <c r="N102" s="33">
        <v>161</v>
      </c>
      <c r="O102" s="33">
        <v>321</v>
      </c>
      <c r="P102" s="33">
        <v>641</v>
      </c>
      <c r="Q102" s="33">
        <v>1441</v>
      </c>
      <c r="R102" s="34">
        <v>2801</v>
      </c>
      <c r="S102" s="33">
        <v>5601</v>
      </c>
      <c r="T102" s="33">
        <v>10001</v>
      </c>
      <c r="U102" s="33">
        <v>20001</v>
      </c>
      <c r="V102" s="33">
        <v>40001</v>
      </c>
      <c r="W102" s="33">
        <v>60001</v>
      </c>
      <c r="X102" s="33">
        <v>80001</v>
      </c>
      <c r="Y102" s="34">
        <f>112001+MAX(0,SUMIFS(INDEX(választott_kasztok,,10),INDEX(választott_kasztok,,1),$L102)-13)*31200</f>
        <v>112001</v>
      </c>
      <c r="Z102" s="10">
        <v>9</v>
      </c>
      <c r="AA102" s="10">
        <v>20</v>
      </c>
      <c r="AB102" s="10">
        <v>75</v>
      </c>
      <c r="AC102" s="10">
        <v>0</v>
      </c>
      <c r="AD102" s="10">
        <f>MAX(11,SUMIFS(INDEX(választott_kasztok,,10),INDEX(választott_kasztok,,1),$L102)*11)</f>
        <v>11</v>
      </c>
      <c r="AE102" s="10">
        <f t="shared" ref="AE102:AF111" si="226">MAX(3,SUMIFS(INDEX(választott_kasztok,,10),INDEX(választott_kasztok,,1),$L102)*3)</f>
        <v>3</v>
      </c>
      <c r="AF102" s="10">
        <f t="shared" si="226"/>
        <v>3</v>
      </c>
      <c r="AG102" s="20">
        <f>IF(AND(többes_kaszt=iker_kaszt,váltás_kezdet=0,váltás_kezdet&lt;&gt;""),0,7)</f>
        <v>7</v>
      </c>
      <c r="AH102" s="10">
        <f>MAX(0,IF(választott_kaszt_1=$L102,IF(váltás_kezdet="",VLOOKUP($L102,választott_kasztok,10,FALSE)*7,MIN(VLOOKUP($L102,választott_kasztok,10,FALSE),váltás_kezdet)*7+IF(többes_kaszt=iker_kaszt,MAX(0,VLOOKUP($L102,választott_kasztok,10,FALSE)-váltás_kezdet),0)+IF(többes_kaszt=váltott_kaszt,MAX(0,váltás_kezdet-VLOOKUP($L102,választott_kasztok,10,FALSE))*7)),0)+IF(választott_kaszt_2=$L102,VLOOKUP($L102,választott_kasztok,10,FALSE)*IF(többes_kaszt=iker_kaszt,1,7),0))</f>
        <v>0</v>
      </c>
      <c r="AI102" s="10">
        <v>0</v>
      </c>
      <c r="AJ102" s="10">
        <v>7</v>
      </c>
      <c r="AK102" s="10">
        <v>6</v>
      </c>
      <c r="AL102" s="10">
        <f>MAX(1,SUMIFS(INDEX(választott_kasztok,,10),INDEX(választott_kasztok,,1),$L102))*(k6dobás+4)</f>
        <v>10</v>
      </c>
      <c r="AM102" s="10"/>
      <c r="AN102" s="20" t="s">
        <v>1183</v>
      </c>
      <c r="AO102" s="209" t="str">
        <f>IF(tanultMfkaszt=0,"00",IF(INDEX(választott_kasztok,tanultMfkaszt,1)=$L102,TEXT(tanultMfTSZ,"00"),"00"))&amp;"0101"</f>
        <v>000101</v>
      </c>
      <c r="AP102" s="33">
        <v>0</v>
      </c>
      <c r="AQ102" s="56">
        <v>15</v>
      </c>
      <c r="AR102" s="56">
        <v>20</v>
      </c>
      <c r="AS102" s="56">
        <v>10</v>
      </c>
      <c r="AT102" s="56"/>
      <c r="AU102" s="56"/>
      <c r="AV102" s="56"/>
      <c r="AW102" s="56"/>
      <c r="AX102" s="56"/>
      <c r="AY102" s="56"/>
      <c r="AZ102" s="56"/>
      <c r="BA102" s="117">
        <f>112001+MAX(0,váltás_kezdet-13)*31200</f>
        <v>112001</v>
      </c>
      <c r="BB102" s="17">
        <f t="shared" si="199"/>
        <v>16</v>
      </c>
      <c r="BC102" s="17">
        <f t="shared" si="200"/>
        <v>13</v>
      </c>
      <c r="BD102" s="17">
        <f t="shared" si="201"/>
        <v>13</v>
      </c>
      <c r="BE102" s="17">
        <f t="shared" si="202"/>
        <v>14</v>
      </c>
      <c r="BF102" s="116">
        <f t="shared" si="203"/>
        <v>16</v>
      </c>
      <c r="BG102" s="17">
        <f t="shared" si="204"/>
        <v>11</v>
      </c>
      <c r="BH102" s="17">
        <f t="shared" si="205"/>
        <v>11</v>
      </c>
      <c r="BI102" s="17">
        <f t="shared" si="206"/>
        <v>13</v>
      </c>
      <c r="BJ102" s="17">
        <f t="shared" si="207"/>
        <v>11</v>
      </c>
      <c r="BK102" s="17">
        <f t="shared" si="208"/>
        <v>13</v>
      </c>
      <c r="BL102" s="17">
        <f t="shared" si="224"/>
        <v>0</v>
      </c>
      <c r="BM102" s="13">
        <f t="shared" si="223"/>
        <v>0</v>
      </c>
      <c r="BN102" s="12" t="s">
        <v>262</v>
      </c>
      <c r="BO102" s="12" t="s">
        <v>262</v>
      </c>
      <c r="BP102" s="12" t="s">
        <v>262</v>
      </c>
      <c r="BQ102" s="12" t="s">
        <v>262</v>
      </c>
      <c r="BR102" s="12"/>
      <c r="BS102" s="12"/>
      <c r="BT102" s="12"/>
      <c r="BU102" s="12"/>
      <c r="BV102" s="12"/>
      <c r="BW102" s="51"/>
      <c r="BX102" s="12" t="s">
        <v>134</v>
      </c>
      <c r="BY102" s="12" t="s">
        <v>131</v>
      </c>
      <c r="BZ102" s="12" t="s">
        <v>131</v>
      </c>
      <c r="CA102" s="12" t="s">
        <v>132</v>
      </c>
      <c r="CB102" s="12" t="s">
        <v>135</v>
      </c>
      <c r="CC102" s="12" t="s">
        <v>129</v>
      </c>
      <c r="CD102" s="12" t="s">
        <v>129</v>
      </c>
      <c r="CE102" s="12" t="s">
        <v>131</v>
      </c>
      <c r="CF102" s="12" t="s">
        <v>129</v>
      </c>
      <c r="CG102" s="12" t="s">
        <v>131</v>
      </c>
      <c r="CH102" s="10">
        <v>3</v>
      </c>
      <c r="CI102" s="10">
        <v>18</v>
      </c>
      <c r="CJ102" s="148"/>
      <c r="CK102" s="63"/>
    </row>
    <row r="103" spans="1:89">
      <c r="A103" s="39" t="s">
        <v>680</v>
      </c>
      <c r="B103" s="52"/>
      <c r="C103" s="14">
        <v>-2</v>
      </c>
      <c r="D103" s="14"/>
      <c r="E103" s="14"/>
      <c r="F103" s="14">
        <v>-1</v>
      </c>
      <c r="G103" s="14"/>
      <c r="H103" s="14"/>
      <c r="I103" s="14"/>
      <c r="J103" s="14"/>
      <c r="K103" s="16"/>
      <c r="L103" s="20" t="s">
        <v>320</v>
      </c>
      <c r="M103" s="34">
        <v>0</v>
      </c>
      <c r="N103" s="34">
        <v>176</v>
      </c>
      <c r="O103" s="34">
        <v>353</v>
      </c>
      <c r="P103" s="34">
        <v>721</v>
      </c>
      <c r="Q103" s="34">
        <v>1501</v>
      </c>
      <c r="R103" s="34">
        <v>3501</v>
      </c>
      <c r="S103" s="34">
        <v>7001</v>
      </c>
      <c r="T103" s="34">
        <v>10501</v>
      </c>
      <c r="U103" s="34">
        <v>21001</v>
      </c>
      <c r="V103" s="34">
        <v>48001</v>
      </c>
      <c r="W103" s="34">
        <v>78001</v>
      </c>
      <c r="X103" s="34">
        <v>108001</v>
      </c>
      <c r="Y103" s="34">
        <f>138001+MAX(0,SUMIFS(INDEX(választott_kasztok,,10),INDEX(választott_kasztok,,1),$L103)-13)*38000</f>
        <v>138001</v>
      </c>
      <c r="Z103" s="20">
        <v>5</v>
      </c>
      <c r="AA103" s="20">
        <v>20</v>
      </c>
      <c r="AB103" s="20">
        <v>75</v>
      </c>
      <c r="AC103" s="20">
        <v>0</v>
      </c>
      <c r="AD103" s="10">
        <f>MAX(9,SUMIFS(INDEX(választott_kasztok,,10),INDEX(választott_kasztok,,1),$L103)*9)</f>
        <v>9</v>
      </c>
      <c r="AE103" s="10">
        <f t="shared" si="226"/>
        <v>3</v>
      </c>
      <c r="AF103" s="10">
        <f t="shared" si="226"/>
        <v>3</v>
      </c>
      <c r="AG103" s="20">
        <f>IF(AND(többes_kaszt=iker_kaszt,váltás_kezdet=0,váltás_kezdet&lt;&gt;""),0,5)</f>
        <v>5</v>
      </c>
      <c r="AH103" s="10">
        <f>MAX(0,IF(választott_kaszt_1=$L103,IF(váltás_kezdet="",VLOOKUP($L103,választott_kasztok,10,FALSE)*5,MIN(VLOOKUP($L103,választott_kasztok,10,FALSE),váltás_kezdet)*5+IF(többes_kaszt=iker_kaszt,MAX(0,VLOOKUP($L103,választott_kasztok,10,FALSE)-váltás_kezdet),0)+IF(többes_kaszt=váltott_kaszt,MAX(0,váltás_kezdet-VLOOKUP($L103,választott_kasztok,10,FALSE))*5)),0)+IF(választott_kaszt_2=$L103,VLOOKUP($L103,választott_kasztok,10,FALSE)*IF(többes_kaszt=iker_kaszt,1,5),0))</f>
        <v>0</v>
      </c>
      <c r="AI103" s="20">
        <v>0</v>
      </c>
      <c r="AJ103" s="20">
        <v>8</v>
      </c>
      <c r="AK103" s="20">
        <v>7</v>
      </c>
      <c r="AL103" s="10">
        <f>MAX(1,SUMIFS(INDEX(választott_kasztok,,10),INDEX(választott_kasztok,,1),$L103))*(k6dobás+5)</f>
        <v>11</v>
      </c>
      <c r="AM103" s="10">
        <f>MAX(9,MIN(1,SUMIFS(INDEX(választott_kasztok,,10),INDEX(választott_kasztok,,1),$L103))*9+MAX(0,SUMIFS(INDEX(választott_kasztok,,10),INDEX(választott_kasztok,,1),$L103)-1)*(4+ROUNDUP(k6dobás/2,0)))</f>
        <v>9</v>
      </c>
      <c r="AN103" s="20" t="s">
        <v>1183</v>
      </c>
      <c r="AO103" s="209"/>
      <c r="AP103" s="34">
        <v>0</v>
      </c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117">
        <f>138001+MAX(0,váltás_kezdet-13)*38000</f>
        <v>138001</v>
      </c>
      <c r="BB103" s="17">
        <f t="shared" si="199"/>
        <v>14</v>
      </c>
      <c r="BC103" s="17">
        <f t="shared" si="200"/>
        <v>11</v>
      </c>
      <c r="BD103" s="17">
        <f t="shared" si="201"/>
        <v>11</v>
      </c>
      <c r="BE103" s="17">
        <f t="shared" si="202"/>
        <v>14</v>
      </c>
      <c r="BF103" s="116">
        <f t="shared" si="203"/>
        <v>16</v>
      </c>
      <c r="BG103" s="17">
        <f t="shared" si="204"/>
        <v>14</v>
      </c>
      <c r="BH103" s="17">
        <f t="shared" si="205"/>
        <v>13</v>
      </c>
      <c r="BI103" s="17">
        <f t="shared" si="206"/>
        <v>14</v>
      </c>
      <c r="BJ103" s="17">
        <f t="shared" si="207"/>
        <v>16</v>
      </c>
      <c r="BK103" s="17">
        <f t="shared" si="208"/>
        <v>14</v>
      </c>
      <c r="BL103" s="17">
        <f t="shared" si="224"/>
        <v>0</v>
      </c>
      <c r="BM103" s="13">
        <f t="shared" si="223"/>
        <v>0</v>
      </c>
      <c r="BN103" s="12" t="s">
        <v>262</v>
      </c>
      <c r="BO103" s="12"/>
      <c r="BP103" s="12"/>
      <c r="BQ103" s="12"/>
      <c r="BR103" s="12"/>
      <c r="BS103" s="12"/>
      <c r="BT103" s="12"/>
      <c r="BU103" s="12"/>
      <c r="BV103" s="12"/>
      <c r="BW103" s="51"/>
      <c r="BX103" s="12" t="s">
        <v>132</v>
      </c>
      <c r="BY103" s="12" t="s">
        <v>129</v>
      </c>
      <c r="BZ103" s="12" t="s">
        <v>129</v>
      </c>
      <c r="CA103" s="12" t="s">
        <v>132</v>
      </c>
      <c r="CB103" s="12" t="s">
        <v>135</v>
      </c>
      <c r="CC103" s="12" t="s">
        <v>132</v>
      </c>
      <c r="CD103" s="12" t="s">
        <v>131</v>
      </c>
      <c r="CE103" s="12" t="s">
        <v>132</v>
      </c>
      <c r="CF103" s="12" t="s">
        <v>134</v>
      </c>
      <c r="CG103" s="12" t="s">
        <v>132</v>
      </c>
      <c r="CH103" s="10">
        <v>3</v>
      </c>
      <c r="CI103" s="10">
        <v>6</v>
      </c>
      <c r="CJ103" s="148"/>
      <c r="CK103" s="63"/>
    </row>
    <row r="104" spans="1:89">
      <c r="A104" s="39" t="s">
        <v>681</v>
      </c>
      <c r="B104" s="52"/>
      <c r="C104" s="14"/>
      <c r="D104" s="14"/>
      <c r="E104" s="14"/>
      <c r="F104" s="14"/>
      <c r="G104" s="14"/>
      <c r="H104" s="14"/>
      <c r="I104" s="14"/>
      <c r="J104" s="14"/>
      <c r="K104" s="16"/>
      <c r="L104" s="20" t="s">
        <v>1269</v>
      </c>
      <c r="M104" s="34">
        <v>0</v>
      </c>
      <c r="N104" s="34">
        <v>161</v>
      </c>
      <c r="O104" s="34">
        <v>331</v>
      </c>
      <c r="P104" s="34">
        <v>661</v>
      </c>
      <c r="Q104" s="34">
        <v>1301</v>
      </c>
      <c r="R104" s="34">
        <v>2601</v>
      </c>
      <c r="S104" s="34">
        <v>5001</v>
      </c>
      <c r="T104" s="34">
        <v>9001</v>
      </c>
      <c r="U104" s="34">
        <v>23001</v>
      </c>
      <c r="V104" s="34">
        <v>50001</v>
      </c>
      <c r="W104" s="34">
        <v>90001</v>
      </c>
      <c r="X104" s="34">
        <v>130001</v>
      </c>
      <c r="Y104" s="34">
        <f>165001+MAX(0,SUMIFS(INDEX(választott_kasztok,,10),INDEX(választott_kasztok,,1),$L104)-13)*50000</f>
        <v>165001</v>
      </c>
      <c r="Z104" s="20">
        <v>5</v>
      </c>
      <c r="AA104" s="20">
        <v>17</v>
      </c>
      <c r="AB104" s="20">
        <v>72</v>
      </c>
      <c r="AC104" s="20">
        <v>0</v>
      </c>
      <c r="AD104" s="10">
        <f>MAX(8,SUMIFS(INDEX(választott_kasztok,,10),INDEX(választott_kasztok,,1),$L104)*8)</f>
        <v>8</v>
      </c>
      <c r="AE104" s="10">
        <f t="shared" si="226"/>
        <v>3</v>
      </c>
      <c r="AF104" s="10">
        <f t="shared" si="226"/>
        <v>3</v>
      </c>
      <c r="AG104" s="20">
        <f>IF(AND(többes_kaszt=iker_kaszt,váltás_kezdet=0,váltás_kezdet&lt;&gt;""),0,4)</f>
        <v>4</v>
      </c>
      <c r="AH104" s="10">
        <f>MAX(0,IF(választott_kaszt_1=$L104,IF(váltás_kezdet="",VLOOKUP($L104,választott_kasztok,10,FALSE)*5,MIN(VLOOKUP($L104,választott_kasztok,10,FALSE),váltás_kezdet)*5+IF(többes_kaszt=iker_kaszt,MAX(0,VLOOKUP($L104,választott_kasztok,10,FALSE)-váltás_kezdet),0)+IF(többes_kaszt=váltott_kaszt,MAX(0,váltás_kezdet-VLOOKUP($L104,választott_kasztok,10,FALSE))*5)),0)+IF(választott_kaszt_2=$L104,VLOOKUP($L104,választott_kasztok,10,FALSE)*IF(többes_kaszt=iker_kaszt,1,5),0))</f>
        <v>0</v>
      </c>
      <c r="AI104" s="20">
        <v>0</v>
      </c>
      <c r="AJ104" s="20">
        <v>6</v>
      </c>
      <c r="AK104" s="20">
        <v>6</v>
      </c>
      <c r="AL104" s="10">
        <f>MAX(1,SUMIFS(INDEX(választott_kasztok,,10),INDEX(választott_kasztok,,1),$L104))*(k6dobás+2)</f>
        <v>8</v>
      </c>
      <c r="AM104" s="10">
        <f>MAX(9,MIN(1,SUMIFS(INDEX(választott_kasztok,,10),INDEX(választott_kasztok,,1),$L104))*9+MAX(0,SUMIFS(INDEX(választott_kasztok,,10),INDEX(választott_kasztok,,1),$L104)-1)*(6+ROUNDUP(k6dobás/2,0)))</f>
        <v>9</v>
      </c>
      <c r="AN104" s="20" t="s">
        <v>1183</v>
      </c>
      <c r="AO104" s="209"/>
      <c r="AP104" s="33">
        <v>0</v>
      </c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117">
        <f>165001+MAX(0,váltás_kezdet-13)*50000</f>
        <v>165001</v>
      </c>
      <c r="BB104" s="17">
        <f t="shared" si="199"/>
        <v>13</v>
      </c>
      <c r="BC104" s="17">
        <f t="shared" si="200"/>
        <v>11</v>
      </c>
      <c r="BD104" s="17">
        <f t="shared" si="201"/>
        <v>11</v>
      </c>
      <c r="BE104" s="17">
        <f t="shared" si="202"/>
        <v>13</v>
      </c>
      <c r="BF104" s="17">
        <f t="shared" si="203"/>
        <v>14</v>
      </c>
      <c r="BG104" s="116">
        <f t="shared" si="204"/>
        <v>16</v>
      </c>
      <c r="BH104" s="17">
        <f t="shared" si="205"/>
        <v>14</v>
      </c>
      <c r="BI104" s="17">
        <f t="shared" si="206"/>
        <v>14</v>
      </c>
      <c r="BJ104" s="17">
        <f t="shared" si="207"/>
        <v>16</v>
      </c>
      <c r="BK104" s="17">
        <f t="shared" si="208"/>
        <v>14</v>
      </c>
      <c r="BL104" s="17">
        <f t="shared" si="224"/>
        <v>0</v>
      </c>
      <c r="BM104" s="13">
        <f t="shared" si="223"/>
        <v>0</v>
      </c>
      <c r="BN104" s="12"/>
      <c r="BO104" s="12"/>
      <c r="BP104" s="12"/>
      <c r="BQ104" s="12"/>
      <c r="BR104" s="12"/>
      <c r="BS104" s="12"/>
      <c r="BT104" s="12"/>
      <c r="BU104" s="12" t="s">
        <v>262</v>
      </c>
      <c r="BV104" s="12" t="s">
        <v>262</v>
      </c>
      <c r="BW104" s="51"/>
      <c r="BX104" s="12" t="s">
        <v>131</v>
      </c>
      <c r="BY104" s="12" t="s">
        <v>129</v>
      </c>
      <c r="BZ104" s="12" t="s">
        <v>129</v>
      </c>
      <c r="CA104" s="12" t="s">
        <v>131</v>
      </c>
      <c r="CB104" s="12" t="s">
        <v>132</v>
      </c>
      <c r="CC104" s="12" t="s">
        <v>135</v>
      </c>
      <c r="CD104" s="12" t="s">
        <v>132</v>
      </c>
      <c r="CE104" s="12" t="s">
        <v>132</v>
      </c>
      <c r="CF104" s="12" t="s">
        <v>134</v>
      </c>
      <c r="CG104" s="12" t="s">
        <v>132</v>
      </c>
      <c r="CH104" s="10">
        <v>3</v>
      </c>
      <c r="CI104" s="10">
        <v>6</v>
      </c>
      <c r="CJ104" s="148"/>
      <c r="CK104" s="63"/>
    </row>
    <row r="105" spans="1:89">
      <c r="A105" s="39" t="s">
        <v>682</v>
      </c>
      <c r="B105" s="52"/>
      <c r="C105" s="14"/>
      <c r="D105" s="14">
        <v>-1</v>
      </c>
      <c r="E105" s="14">
        <v>-1</v>
      </c>
      <c r="F105" s="14"/>
      <c r="G105" s="14"/>
      <c r="H105" s="14">
        <v>-1</v>
      </c>
      <c r="I105" s="14"/>
      <c r="J105" s="14"/>
      <c r="K105" s="16"/>
      <c r="L105" s="20" t="s">
        <v>1268</v>
      </c>
      <c r="M105" s="34">
        <v>0</v>
      </c>
      <c r="N105" s="34">
        <v>161</v>
      </c>
      <c r="O105" s="34">
        <v>331</v>
      </c>
      <c r="P105" s="34">
        <v>661</v>
      </c>
      <c r="Q105" s="34">
        <v>1301</v>
      </c>
      <c r="R105" s="34">
        <v>2601</v>
      </c>
      <c r="S105" s="34">
        <v>5001</v>
      </c>
      <c r="T105" s="34">
        <v>9001</v>
      </c>
      <c r="U105" s="34">
        <v>23001</v>
      </c>
      <c r="V105" s="34">
        <v>50001</v>
      </c>
      <c r="W105" s="34">
        <v>90001</v>
      </c>
      <c r="X105" s="34">
        <v>130001</v>
      </c>
      <c r="Y105" s="34">
        <f>165001+MAX(0,SUMIFS(INDEX(választott_kasztok,,10),INDEX(választott_kasztok,,1),$L105)-13)*50000</f>
        <v>165001</v>
      </c>
      <c r="Z105" s="20">
        <v>5</v>
      </c>
      <c r="AA105" s="20">
        <v>17</v>
      </c>
      <c r="AB105" s="20">
        <v>72</v>
      </c>
      <c r="AC105" s="20">
        <v>0</v>
      </c>
      <c r="AD105" s="10">
        <f>MAX(8,SUMIFS(INDEX(választott_kasztok,,10),INDEX(választott_kasztok,,1),$L105)*8)</f>
        <v>8</v>
      </c>
      <c r="AE105" s="10">
        <f t="shared" si="226"/>
        <v>3</v>
      </c>
      <c r="AF105" s="10">
        <f t="shared" si="226"/>
        <v>3</v>
      </c>
      <c r="AG105" s="20">
        <f>IF(AND(többes_kaszt=iker_kaszt,váltás_kezdet=0,váltás_kezdet&lt;&gt;""),0,4)</f>
        <v>4</v>
      </c>
      <c r="AH105" s="10">
        <f>MAX(0,IF(választott_kaszt_1=$L105,IF(váltás_kezdet="",VLOOKUP($L105,választott_kasztok,10,FALSE)*9,MIN(VLOOKUP($L105,választott_kasztok,10,FALSE),váltás_kezdet)*9+IF(többes_kaszt=iker_kaszt,MAX(0,VLOOKUP($L105,választott_kasztok,10,FALSE)-váltás_kezdet),0)+IF(többes_kaszt=váltott_kaszt,MAX(0,váltás_kezdet-VLOOKUP($L105,választott_kasztok,10,FALSE))*9)),0)+IF(választott_kaszt_2=$L105,VLOOKUP($L105,választott_kasztok,10,FALSE)*IF(többes_kaszt=iker_kaszt,1,9),0))</f>
        <v>0</v>
      </c>
      <c r="AI105" s="20">
        <v>0</v>
      </c>
      <c r="AJ105" s="20">
        <v>6</v>
      </c>
      <c r="AK105" s="20">
        <v>6</v>
      </c>
      <c r="AL105" s="10">
        <f>MAX(1,SUMIFS(INDEX(választott_kasztok,,10),INDEX(választott_kasztok,,1),$L105))*(k6dobás+2)</f>
        <v>8</v>
      </c>
      <c r="AM105" s="10">
        <f>MAX(9,MIN(1,SUMIFS(INDEX(választott_kasztok,,10),INDEX(választott_kasztok,,1),$L105))*9+MAX(0,SUMIFS(INDEX(választott_kasztok,,10),INDEX(választott_kasztok,,1),$L105)-1)*(7+ROUNDUP(k6dobás/3,0)))</f>
        <v>9</v>
      </c>
      <c r="AN105" s="20" t="s">
        <v>1183</v>
      </c>
      <c r="AO105" s="209"/>
      <c r="AP105" s="33">
        <v>0</v>
      </c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117">
        <f>165001+MAX(0,váltás_kezdet-13)*50000</f>
        <v>165001</v>
      </c>
      <c r="BB105" s="17">
        <f t="shared" si="199"/>
        <v>13</v>
      </c>
      <c r="BC105" s="17">
        <f t="shared" si="200"/>
        <v>11</v>
      </c>
      <c r="BD105" s="17">
        <f t="shared" si="201"/>
        <v>11</v>
      </c>
      <c r="BE105" s="17">
        <f t="shared" si="202"/>
        <v>13</v>
      </c>
      <c r="BF105" s="17">
        <f t="shared" si="203"/>
        <v>14</v>
      </c>
      <c r="BG105" s="116">
        <f t="shared" si="204"/>
        <v>16</v>
      </c>
      <c r="BH105" s="17">
        <f t="shared" si="205"/>
        <v>14</v>
      </c>
      <c r="BI105" s="17">
        <f t="shared" si="206"/>
        <v>14</v>
      </c>
      <c r="BJ105" s="17">
        <f t="shared" si="207"/>
        <v>16</v>
      </c>
      <c r="BK105" s="17">
        <f t="shared" si="208"/>
        <v>14</v>
      </c>
      <c r="BL105" s="17">
        <f t="shared" si="224"/>
        <v>0</v>
      </c>
      <c r="BM105" s="13">
        <f t="shared" si="223"/>
        <v>0</v>
      </c>
      <c r="BN105" s="12"/>
      <c r="BO105" s="12"/>
      <c r="BP105" s="12"/>
      <c r="BQ105" s="12"/>
      <c r="BR105" s="12"/>
      <c r="BS105" s="12"/>
      <c r="BT105" s="12"/>
      <c r="BU105" s="12" t="s">
        <v>262</v>
      </c>
      <c r="BV105" s="12" t="s">
        <v>262</v>
      </c>
      <c r="BW105" s="51"/>
      <c r="BX105" s="12" t="s">
        <v>131</v>
      </c>
      <c r="BY105" s="12" t="s">
        <v>129</v>
      </c>
      <c r="BZ105" s="12" t="s">
        <v>129</v>
      </c>
      <c r="CA105" s="12" t="s">
        <v>131</v>
      </c>
      <c r="CB105" s="12" t="s">
        <v>132</v>
      </c>
      <c r="CC105" s="12" t="s">
        <v>135</v>
      </c>
      <c r="CD105" s="12" t="s">
        <v>132</v>
      </c>
      <c r="CE105" s="12" t="s">
        <v>132</v>
      </c>
      <c r="CF105" s="12" t="s">
        <v>134</v>
      </c>
      <c r="CG105" s="12" t="s">
        <v>132</v>
      </c>
      <c r="CH105" s="10">
        <v>3</v>
      </c>
      <c r="CI105" s="10">
        <v>6</v>
      </c>
      <c r="CJ105" s="148"/>
      <c r="CK105" s="63"/>
    </row>
    <row r="106" spans="1:89" s="7" customFormat="1">
      <c r="A106" s="39" t="s">
        <v>683</v>
      </c>
      <c r="B106" s="52"/>
      <c r="C106" s="14">
        <v>-1</v>
      </c>
      <c r="D106" s="14">
        <v>-3</v>
      </c>
      <c r="E106" s="14">
        <v>-2</v>
      </c>
      <c r="F106" s="14">
        <v>-1</v>
      </c>
      <c r="G106" s="14">
        <v>-1</v>
      </c>
      <c r="H106" s="14">
        <v>-3</v>
      </c>
      <c r="I106" s="14"/>
      <c r="J106" s="14"/>
      <c r="K106" s="16"/>
      <c r="L106" s="29" t="s">
        <v>38</v>
      </c>
      <c r="M106" s="35">
        <v>0</v>
      </c>
      <c r="N106" s="35">
        <v>161</v>
      </c>
      <c r="O106" s="35">
        <v>331</v>
      </c>
      <c r="P106" s="35">
        <v>661</v>
      </c>
      <c r="Q106" s="35">
        <v>1301</v>
      </c>
      <c r="R106" s="35">
        <v>2601</v>
      </c>
      <c r="S106" s="35">
        <v>5001</v>
      </c>
      <c r="T106" s="35">
        <v>9001</v>
      </c>
      <c r="U106" s="35">
        <v>23001</v>
      </c>
      <c r="V106" s="35">
        <v>50001</v>
      </c>
      <c r="W106" s="35">
        <v>90001</v>
      </c>
      <c r="X106" s="35">
        <v>130001</v>
      </c>
      <c r="Y106" s="35">
        <f>165001+MAX(0,SUMIFS(INDEX(választott_kasztok,,10),INDEX(választott_kasztok,,1),$L106)-13)*50000</f>
        <v>165001</v>
      </c>
      <c r="Z106" s="29">
        <v>5</v>
      </c>
      <c r="AA106" s="29">
        <v>17</v>
      </c>
      <c r="AB106" s="29">
        <v>72</v>
      </c>
      <c r="AC106" s="29">
        <v>0</v>
      </c>
      <c r="AD106" s="29">
        <f>MAX(8,SUMIFS(INDEX(választott_kasztok,,10),INDEX(választott_kasztok,,1),$L106)*8)</f>
        <v>8</v>
      </c>
      <c r="AE106" s="29">
        <f t="shared" si="226"/>
        <v>3</v>
      </c>
      <c r="AF106" s="29">
        <f t="shared" si="226"/>
        <v>3</v>
      </c>
      <c r="AG106" s="29">
        <f>IF(AND(többes_kaszt=iker_kaszt,váltás_kezdet=0,váltás_kezdet&lt;&gt;""),0,6)</f>
        <v>6</v>
      </c>
      <c r="AH106" s="29">
        <f>MAX(0,IF(választott_kaszt_1=$L106,IF(váltás_kezdet="",VLOOKUP($L106,választott_kasztok,10,FALSE)*10,MIN(VLOOKUP($L106,választott_kasztok,10,FALSE),váltás_kezdet)*10+IF(többes_kaszt=iker_kaszt,MAX(0,VLOOKUP($L106,választott_kasztok,10,FALSE)-váltás_kezdet),0)+IF(többes_kaszt=váltott_kaszt,MAX(0,váltás_kezdet-VLOOKUP($L106,választott_kasztok,10,FALSE))*10)),0)+IF(választott_kaszt_2=$L106,VLOOKUP($L106,választott_kasztok,10,FALSE)*IF(többes_kaszt=iker_kaszt,1,10),0))</f>
        <v>0</v>
      </c>
      <c r="AI106" s="29">
        <v>0</v>
      </c>
      <c r="AJ106" s="29">
        <v>6</v>
      </c>
      <c r="AK106" s="29">
        <v>6</v>
      </c>
      <c r="AL106" s="29">
        <f>MAX(1,SUMIFS(INDEX(választott_kasztok,,10),INDEX(választott_kasztok,,1),$L106))*(k6dobás+2)</f>
        <v>8</v>
      </c>
      <c r="AM106" s="29">
        <f>MAX(9,MIN(1,SUMIFS(INDEX(választott_kasztok,,10),INDEX(választott_kasztok,,1),$L106))*9+MAX(0,SUMIFS(INDEX(választott_kasztok,,10),INDEX(választott_kasztok,,1),$L106)-1)*(6+ROUNDUP(k6dobás/2,0)))</f>
        <v>9</v>
      </c>
      <c r="AN106" s="212" t="s">
        <v>1183</v>
      </c>
      <c r="AO106" s="213"/>
      <c r="AP106" s="35">
        <v>0</v>
      </c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118">
        <f>165001+MAX(0,váltás_kezdet-13)*50000</f>
        <v>165001</v>
      </c>
      <c r="BB106" s="17">
        <f t="shared" si="199"/>
        <v>13</v>
      </c>
      <c r="BC106" s="17">
        <f t="shared" si="200"/>
        <v>11</v>
      </c>
      <c r="BD106" s="17">
        <f t="shared" si="201"/>
        <v>11</v>
      </c>
      <c r="BE106" s="17">
        <f t="shared" si="202"/>
        <v>13</v>
      </c>
      <c r="BF106" s="17">
        <f t="shared" si="203"/>
        <v>14</v>
      </c>
      <c r="BG106" s="116">
        <f t="shared" si="204"/>
        <v>16</v>
      </c>
      <c r="BH106" s="17">
        <f t="shared" si="205"/>
        <v>14</v>
      </c>
      <c r="BI106" s="17">
        <f t="shared" si="206"/>
        <v>14</v>
      </c>
      <c r="BJ106" s="17">
        <f t="shared" si="207"/>
        <v>16</v>
      </c>
      <c r="BK106" s="17">
        <f t="shared" si="208"/>
        <v>14</v>
      </c>
      <c r="BL106" s="17">
        <f t="shared" si="224"/>
        <v>0</v>
      </c>
      <c r="BM106" s="13">
        <f t="shared" si="223"/>
        <v>0</v>
      </c>
      <c r="BN106" s="12"/>
      <c r="BO106" s="12"/>
      <c r="BP106" s="12"/>
      <c r="BQ106" s="12"/>
      <c r="BR106" s="12"/>
      <c r="BS106" s="12"/>
      <c r="BT106" s="12"/>
      <c r="BU106" s="12" t="s">
        <v>262</v>
      </c>
      <c r="BV106" s="12" t="s">
        <v>262</v>
      </c>
      <c r="BW106" s="51"/>
      <c r="BX106" s="12" t="s">
        <v>131</v>
      </c>
      <c r="BY106" s="12" t="s">
        <v>129</v>
      </c>
      <c r="BZ106" s="12" t="s">
        <v>129</v>
      </c>
      <c r="CA106" s="12" t="s">
        <v>131</v>
      </c>
      <c r="CB106" s="12" t="s">
        <v>132</v>
      </c>
      <c r="CC106" s="12" t="s">
        <v>135</v>
      </c>
      <c r="CD106" s="12" t="s">
        <v>132</v>
      </c>
      <c r="CE106" s="12" t="s">
        <v>132</v>
      </c>
      <c r="CF106" s="12" t="s">
        <v>134</v>
      </c>
      <c r="CG106" s="12" t="s">
        <v>132</v>
      </c>
      <c r="CH106" s="20">
        <v>1</v>
      </c>
      <c r="CI106" s="10">
        <v>6</v>
      </c>
      <c r="CJ106" s="148"/>
      <c r="CK106" s="63"/>
    </row>
    <row r="107" spans="1:89">
      <c r="A107" s="39" t="s">
        <v>684</v>
      </c>
      <c r="B107" s="52"/>
      <c r="C107" s="14">
        <v>-3</v>
      </c>
      <c r="D107" s="14">
        <v>-5</v>
      </c>
      <c r="E107" s="14">
        <v>-4</v>
      </c>
      <c r="F107" s="14">
        <v>-3</v>
      </c>
      <c r="G107" s="14">
        <v>-2</v>
      </c>
      <c r="H107" s="14">
        <v>-3</v>
      </c>
      <c r="I107" s="14"/>
      <c r="J107" s="14"/>
      <c r="K107" s="16"/>
      <c r="L107" s="32" t="s">
        <v>39</v>
      </c>
      <c r="M107" s="36">
        <v>0</v>
      </c>
      <c r="N107" s="36">
        <v>176</v>
      </c>
      <c r="O107" s="36">
        <v>353</v>
      </c>
      <c r="P107" s="36">
        <v>721</v>
      </c>
      <c r="Q107" s="36">
        <v>1501</v>
      </c>
      <c r="R107" s="36">
        <v>3501</v>
      </c>
      <c r="S107" s="36">
        <v>7001</v>
      </c>
      <c r="T107" s="36">
        <v>10501</v>
      </c>
      <c r="U107" s="36">
        <v>21001</v>
      </c>
      <c r="V107" s="36">
        <v>48001</v>
      </c>
      <c r="W107" s="36">
        <v>78001</v>
      </c>
      <c r="X107" s="36">
        <v>108001</v>
      </c>
      <c r="Y107" s="36">
        <f>138001+MAX(0,SUMIFS(INDEX(választott_kasztok,,10),INDEX(választott_kasztok,,1),$L107)-13)*38000</f>
        <v>138001</v>
      </c>
      <c r="Z107" s="32">
        <v>5</v>
      </c>
      <c r="AA107" s="32">
        <v>20</v>
      </c>
      <c r="AB107" s="32">
        <v>75</v>
      </c>
      <c r="AC107" s="32">
        <v>0</v>
      </c>
      <c r="AD107" s="32">
        <f>MAX(9,SUMIFS(INDEX(választott_kasztok,,10),INDEX(választott_kasztok,,1),$L107)*9)</f>
        <v>9</v>
      </c>
      <c r="AE107" s="32">
        <f t="shared" si="226"/>
        <v>3</v>
      </c>
      <c r="AF107" s="32">
        <f t="shared" si="226"/>
        <v>3</v>
      </c>
      <c r="AG107" s="32">
        <f>IF(AND(többes_kaszt=iker_kaszt,váltás_kezdet=0,váltás_kezdet&lt;&gt;""),0,5)</f>
        <v>5</v>
      </c>
      <c r="AH107" s="32">
        <f>MAX(0,IF(választott_kaszt_1=$L107,IF(váltás_kezdet="",VLOOKUP($L107,választott_kasztok,10,FALSE)*5,MIN(VLOOKUP($L107,választott_kasztok,10,FALSE),váltás_kezdet)*5+IF(többes_kaszt=iker_kaszt,MAX(0,VLOOKUP($L107,választott_kasztok,10,FALSE)-váltás_kezdet),0)+IF(többes_kaszt=váltott_kaszt,MAX(0,váltás_kezdet-VLOOKUP($L107,választott_kasztok,10,FALSE))*5)),0)+IF(választott_kaszt_2=$L107,VLOOKUP($L107,választott_kasztok,10,FALSE)*IF(többes_kaszt=iker_kaszt,1,5),0))</f>
        <v>0</v>
      </c>
      <c r="AI107" s="32">
        <v>0</v>
      </c>
      <c r="AJ107" s="32">
        <v>8</v>
      </c>
      <c r="AK107" s="32">
        <v>7</v>
      </c>
      <c r="AL107" s="32">
        <f>MAX(1,SUMIFS(INDEX(választott_kasztok,,10),INDEX(választott_kasztok,,1),$L107))*(k6dobás+5)</f>
        <v>11</v>
      </c>
      <c r="AM107" s="32">
        <f>MAX(9,MIN(1,SUMIFS(INDEX(választott_kasztok,,10),INDEX(választott_kasztok,,1),$L107))*9+MAX(0,SUMIFS(INDEX(választott_kasztok,,10),INDEX(választott_kasztok,,1),$L107)-1)*(6+ROUNDUP(k6dobás/2,0)))</f>
        <v>9</v>
      </c>
      <c r="AN107" s="214" t="s">
        <v>1183</v>
      </c>
      <c r="AO107" s="215"/>
      <c r="AP107" s="36">
        <v>0</v>
      </c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119">
        <f>138001+MAX(0,váltás_kezdet-13)*38000</f>
        <v>138001</v>
      </c>
      <c r="BB107" s="17">
        <f t="shared" si="199"/>
        <v>14</v>
      </c>
      <c r="BC107" s="17">
        <f t="shared" si="200"/>
        <v>11</v>
      </c>
      <c r="BD107" s="17">
        <f t="shared" si="201"/>
        <v>11</v>
      </c>
      <c r="BE107" s="17">
        <f t="shared" si="202"/>
        <v>14</v>
      </c>
      <c r="BF107" s="116">
        <f t="shared" si="203"/>
        <v>16</v>
      </c>
      <c r="BG107" s="17">
        <f t="shared" si="204"/>
        <v>14</v>
      </c>
      <c r="BH107" s="17">
        <f t="shared" si="205"/>
        <v>13</v>
      </c>
      <c r="BI107" s="17">
        <f t="shared" si="206"/>
        <v>14</v>
      </c>
      <c r="BJ107" s="17">
        <f t="shared" si="207"/>
        <v>16</v>
      </c>
      <c r="BK107" s="17">
        <f t="shared" si="208"/>
        <v>14</v>
      </c>
      <c r="BL107" s="17">
        <f t="shared" si="224"/>
        <v>0</v>
      </c>
      <c r="BM107" s="13">
        <f t="shared" si="223"/>
        <v>0</v>
      </c>
      <c r="BN107" s="12" t="s">
        <v>262</v>
      </c>
      <c r="BO107" s="12"/>
      <c r="BP107" s="12"/>
      <c r="BQ107" s="12"/>
      <c r="BR107" s="12"/>
      <c r="BS107" s="12"/>
      <c r="BT107" s="12"/>
      <c r="BU107" s="12"/>
      <c r="BV107" s="12"/>
      <c r="BW107" s="51"/>
      <c r="BX107" s="12" t="s">
        <v>132</v>
      </c>
      <c r="BY107" s="12" t="s">
        <v>129</v>
      </c>
      <c r="BZ107" s="12" t="s">
        <v>129</v>
      </c>
      <c r="CA107" s="12" t="s">
        <v>132</v>
      </c>
      <c r="CB107" s="12" t="s">
        <v>135</v>
      </c>
      <c r="CC107" s="12" t="s">
        <v>132</v>
      </c>
      <c r="CD107" s="12" t="s">
        <v>131</v>
      </c>
      <c r="CE107" s="12" t="s">
        <v>132</v>
      </c>
      <c r="CF107" s="12" t="s">
        <v>134</v>
      </c>
      <c r="CG107" s="12" t="s">
        <v>132</v>
      </c>
      <c r="CH107" s="20">
        <v>1</v>
      </c>
      <c r="CI107" s="10">
        <v>6</v>
      </c>
      <c r="CJ107" s="148"/>
      <c r="CK107" s="63"/>
    </row>
    <row r="108" spans="1:89" ht="15.75" thickBot="1">
      <c r="A108" s="39" t="s">
        <v>685</v>
      </c>
      <c r="B108" s="52"/>
      <c r="C108" s="14">
        <v>-5</v>
      </c>
      <c r="D108" s="14">
        <v>-7</v>
      </c>
      <c r="E108" s="14">
        <v>-6</v>
      </c>
      <c r="F108" s="14">
        <v>-5</v>
      </c>
      <c r="G108" s="14">
        <v>-4</v>
      </c>
      <c r="H108" s="14">
        <v>-4</v>
      </c>
      <c r="I108" s="14"/>
      <c r="J108" s="14"/>
      <c r="K108" s="16"/>
      <c r="L108" s="261" t="s">
        <v>321</v>
      </c>
      <c r="M108" s="33">
        <v>0</v>
      </c>
      <c r="N108" s="33">
        <v>161</v>
      </c>
      <c r="O108" s="33">
        <v>321</v>
      </c>
      <c r="P108" s="33">
        <v>641</v>
      </c>
      <c r="Q108" s="33">
        <v>1441</v>
      </c>
      <c r="R108" s="34">
        <v>2801</v>
      </c>
      <c r="S108" s="33">
        <v>5601</v>
      </c>
      <c r="T108" s="33">
        <v>10001</v>
      </c>
      <c r="U108" s="33">
        <v>20001</v>
      </c>
      <c r="V108" s="33">
        <v>40001</v>
      </c>
      <c r="W108" s="33">
        <v>60001</v>
      </c>
      <c r="X108" s="33">
        <v>80001</v>
      </c>
      <c r="Y108" s="34">
        <f>112001+MAX(0,SUMIFS(INDEX(választott_kasztok,,10),INDEX(választott_kasztok,,1),$L108)-13)*31200</f>
        <v>112001</v>
      </c>
      <c r="Z108" s="10">
        <v>9</v>
      </c>
      <c r="AA108" s="20">
        <f>20+SUMIFS(INDEX(választott_kasztok,,10),INDEX(választott_kasztok,,1),$L108)</f>
        <v>20</v>
      </c>
      <c r="AB108" s="10">
        <v>75</v>
      </c>
      <c r="AC108" s="10">
        <v>0</v>
      </c>
      <c r="AD108" s="10">
        <f>MAX(11,SUMIFS(INDEX(választott_kasztok,,10),INDEX(választott_kasztok,,1),$L108)*11)</f>
        <v>11</v>
      </c>
      <c r="AE108" s="10">
        <f t="shared" si="226"/>
        <v>3</v>
      </c>
      <c r="AF108" s="10">
        <f t="shared" si="226"/>
        <v>3</v>
      </c>
      <c r="AG108" s="20">
        <f>IF(AND(többes_kaszt=iker_kaszt,váltás_kezdet=0,váltás_kezdet&lt;&gt;""),0,6)</f>
        <v>6</v>
      </c>
      <c r="AH108" s="10">
        <f>MAX(0,IF(választott_kaszt_1=$L108,IF(váltás_kezdet="",VLOOKUP($L108,választott_kasztok,10,FALSE)*5,MIN(VLOOKUP($L108,választott_kasztok,10,FALSE),váltás_kezdet)*5+IF(többes_kaszt=iker_kaszt,MAX(0,VLOOKUP($L108,választott_kasztok,10,FALSE)-váltás_kezdet),0)+IF(többes_kaszt=váltott_kaszt,MAX(0,váltás_kezdet-VLOOKUP($L108,választott_kasztok,10,FALSE))*5)),0)+IF(választott_kaszt_2=$L108,VLOOKUP($L108,választott_kasztok,10,FALSE)*IF(többes_kaszt=iker_kaszt,1,5),0))</f>
        <v>0</v>
      </c>
      <c r="AI108" s="10">
        <v>0</v>
      </c>
      <c r="AJ108" s="10">
        <v>7</v>
      </c>
      <c r="AK108" s="10">
        <v>7</v>
      </c>
      <c r="AL108" s="10">
        <f>MAX(1,SUMIFS(INDEX(választott_kasztok,,10),INDEX(választott_kasztok,,1),$L108))*(k6dobás+5)</f>
        <v>11</v>
      </c>
      <c r="AM108" s="10"/>
      <c r="AN108" s="20" t="str">
        <f>IF(OR(tanultAfTSZ&gt;0,tanultMfTSZ&gt;0),pyarroni,nincsen)</f>
        <v>nincs</v>
      </c>
      <c r="AO108" s="208" t="str">
        <f>IF(tanultMfkaszt=0,"00",IF(INDEX(választott_kasztok,tanultMfkaszt,1)=$L108,TEXT(tanultMfTSZ,"00"),"00"))&amp;IF(tanultAfkaszt=0,"00",IF(INDEX(választott_kasztok,tanultAfkaszt,1)=$L108,TEXT(tanultAfTSZ,"00"),"00"))&amp;"01"</f>
        <v>000001</v>
      </c>
      <c r="AP108" s="33">
        <v>0</v>
      </c>
      <c r="AQ108" s="56">
        <v>15</v>
      </c>
      <c r="AR108" s="56">
        <v>20</v>
      </c>
      <c r="AS108" s="56">
        <v>10</v>
      </c>
      <c r="AT108" s="56"/>
      <c r="AU108" s="56"/>
      <c r="AV108" s="56"/>
      <c r="AW108" s="56"/>
      <c r="AX108" s="56"/>
      <c r="AY108" s="56"/>
      <c r="AZ108" s="56"/>
      <c r="BA108" s="117">
        <f>112001+MAX(0,váltás_kezdet-13)*31200</f>
        <v>112001</v>
      </c>
      <c r="BB108" s="17">
        <f t="shared" si="199"/>
        <v>16</v>
      </c>
      <c r="BC108" s="17">
        <f t="shared" si="200"/>
        <v>13</v>
      </c>
      <c r="BD108" s="17">
        <f t="shared" si="201"/>
        <v>13</v>
      </c>
      <c r="BE108" s="17">
        <f t="shared" si="202"/>
        <v>14</v>
      </c>
      <c r="BF108" s="116">
        <f t="shared" si="203"/>
        <v>16</v>
      </c>
      <c r="BG108" s="17">
        <f t="shared" si="204"/>
        <v>11</v>
      </c>
      <c r="BH108" s="17">
        <f t="shared" si="205"/>
        <v>11</v>
      </c>
      <c r="BI108" s="17">
        <f t="shared" si="206"/>
        <v>13</v>
      </c>
      <c r="BJ108" s="17">
        <f t="shared" si="207"/>
        <v>11</v>
      </c>
      <c r="BK108" s="17">
        <f t="shared" si="208"/>
        <v>13</v>
      </c>
      <c r="BL108" s="17">
        <f t="shared" si="224"/>
        <v>0</v>
      </c>
      <c r="BM108" s="13">
        <f t="shared" si="223"/>
        <v>0</v>
      </c>
      <c r="BN108" s="12" t="s">
        <v>262</v>
      </c>
      <c r="BO108" s="12" t="s">
        <v>262</v>
      </c>
      <c r="BP108" s="12" t="s">
        <v>262</v>
      </c>
      <c r="BQ108" s="12" t="s">
        <v>262</v>
      </c>
      <c r="BR108" s="12"/>
      <c r="BS108" s="12"/>
      <c r="BT108" s="12"/>
      <c r="BU108" s="12"/>
      <c r="BV108" s="12"/>
      <c r="BW108" s="51"/>
      <c r="BX108" s="12" t="s">
        <v>134</v>
      </c>
      <c r="BY108" s="12" t="s">
        <v>131</v>
      </c>
      <c r="BZ108" s="12" t="s">
        <v>131</v>
      </c>
      <c r="CA108" s="12" t="s">
        <v>132</v>
      </c>
      <c r="CB108" s="12" t="s">
        <v>135</v>
      </c>
      <c r="CC108" s="12" t="s">
        <v>129</v>
      </c>
      <c r="CD108" s="12" t="s">
        <v>129</v>
      </c>
      <c r="CE108" s="12" t="s">
        <v>131</v>
      </c>
      <c r="CF108" s="12" t="s">
        <v>129</v>
      </c>
      <c r="CG108" s="12" t="s">
        <v>131</v>
      </c>
      <c r="CH108" s="10">
        <v>3</v>
      </c>
      <c r="CI108" s="10">
        <v>18</v>
      </c>
      <c r="CJ108" s="148"/>
      <c r="CK108" s="63"/>
    </row>
    <row r="109" spans="1:89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61" t="s">
        <v>322</v>
      </c>
      <c r="M109" s="33">
        <v>0</v>
      </c>
      <c r="N109" s="33">
        <v>161</v>
      </c>
      <c r="O109" s="33">
        <v>321</v>
      </c>
      <c r="P109" s="33">
        <v>641</v>
      </c>
      <c r="Q109" s="33">
        <v>1441</v>
      </c>
      <c r="R109" s="34">
        <v>2801</v>
      </c>
      <c r="S109" s="33">
        <v>5601</v>
      </c>
      <c r="T109" s="33">
        <v>10001</v>
      </c>
      <c r="U109" s="33">
        <v>20001</v>
      </c>
      <c r="V109" s="33">
        <v>40001</v>
      </c>
      <c r="W109" s="33">
        <v>60001</v>
      </c>
      <c r="X109" s="33">
        <v>80001</v>
      </c>
      <c r="Y109" s="34">
        <f>112001+MAX(0,SUMIFS(INDEX(választott_kasztok,,10),INDEX(választott_kasztok,,1),$L109)-13)*31200</f>
        <v>112001</v>
      </c>
      <c r="Z109" s="10">
        <v>9</v>
      </c>
      <c r="AA109" s="10">
        <v>20</v>
      </c>
      <c r="AB109" s="10">
        <v>75</v>
      </c>
      <c r="AC109" s="10">
        <v>0</v>
      </c>
      <c r="AD109" s="10">
        <f>MAX(11,SUMIFS(INDEX(választott_kasztok,,10),INDEX(választott_kasztok,,1),$L109)*11)</f>
        <v>11</v>
      </c>
      <c r="AE109" s="10">
        <f t="shared" si="226"/>
        <v>3</v>
      </c>
      <c r="AF109" s="10">
        <f t="shared" si="226"/>
        <v>3</v>
      </c>
      <c r="AG109" s="20">
        <f>IF(AND(többes_kaszt=iker_kaszt,váltás_kezdet=0,váltás_kezdet&lt;&gt;""),0,10)</f>
        <v>10</v>
      </c>
      <c r="AH109" s="10">
        <f>MAX(0,IF(választott_kaszt_1=$L109,IF(váltás_kezdet="",VLOOKUP($L109,választott_kasztok,10,FALSE)*14,MIN(VLOOKUP($L109,választott_kasztok,10,FALSE),váltás_kezdet)*14+IF(többes_kaszt=iker_kaszt,MAX(0,VLOOKUP($L109,választott_kasztok,10,FALSE)-váltás_kezdet),0)+IF(többes_kaszt=váltott_kaszt,MAX(0,váltás_kezdet-VLOOKUP($L109,választott_kasztok,10,FALSE))*14)),0)+IF(választott_kaszt_2=$L109,VLOOKUP($L109,választott_kasztok,10,FALSE)*IF(többes_kaszt=iker_kaszt,1,14),0))</f>
        <v>0</v>
      </c>
      <c r="AI109" s="10">
        <v>0</v>
      </c>
      <c r="AJ109" s="10">
        <v>7</v>
      </c>
      <c r="AK109" s="10">
        <v>6</v>
      </c>
      <c r="AL109" s="10">
        <f>MAX(1,SUMIFS(INDEX(választott_kasztok,,10),INDEX(választott_kasztok,,1),$L109))*(k6dobás+4)</f>
        <v>10</v>
      </c>
      <c r="AM109" s="10"/>
      <c r="AN109" s="20" t="str">
        <f>IF(OR(tanultAfTSZ&gt;0,tanultMfTSZ&gt;0),pyarroni,nincsen)</f>
        <v>nincs</v>
      </c>
      <c r="AO109" s="208" t="str">
        <f>IF(tanultMfkaszt=0,"00",IF(INDEX(választott_kasztok,tanultMfkaszt,1)=$L109,TEXT(tanultMfTSZ,"00"),"00"))&amp;IF(tanultAfkaszt=0,"00",IF(INDEX(választott_kasztok,tanultAfkaszt,1)=$L109,TEXT(tanultAfTSZ,"00"),"00"))&amp;"01"</f>
        <v>000001</v>
      </c>
      <c r="AP109" s="33">
        <v>0</v>
      </c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117">
        <f>112001+MAX(0,váltás_kezdet-13)*31200</f>
        <v>112001</v>
      </c>
      <c r="BB109" s="17">
        <f t="shared" si="199"/>
        <v>16</v>
      </c>
      <c r="BC109" s="17">
        <f t="shared" si="200"/>
        <v>13</v>
      </c>
      <c r="BD109" s="17">
        <f t="shared" si="201"/>
        <v>13</v>
      </c>
      <c r="BE109" s="17">
        <f t="shared" si="202"/>
        <v>14</v>
      </c>
      <c r="BF109" s="116">
        <f t="shared" si="203"/>
        <v>16</v>
      </c>
      <c r="BG109" s="17">
        <f t="shared" si="204"/>
        <v>11</v>
      </c>
      <c r="BH109" s="17">
        <f t="shared" si="205"/>
        <v>11</v>
      </c>
      <c r="BI109" s="17">
        <f t="shared" si="206"/>
        <v>13</v>
      </c>
      <c r="BJ109" s="17">
        <f t="shared" si="207"/>
        <v>11</v>
      </c>
      <c r="BK109" s="17">
        <f t="shared" si="208"/>
        <v>13</v>
      </c>
      <c r="BL109" s="17">
        <f t="shared" si="224"/>
        <v>0</v>
      </c>
      <c r="BM109" s="13">
        <f t="shared" si="223"/>
        <v>0</v>
      </c>
      <c r="BN109" s="12" t="s">
        <v>262</v>
      </c>
      <c r="BO109" s="12" t="s">
        <v>262</v>
      </c>
      <c r="BP109" s="12" t="s">
        <v>262</v>
      </c>
      <c r="BQ109" s="12" t="s">
        <v>262</v>
      </c>
      <c r="BR109" s="12"/>
      <c r="BS109" s="12"/>
      <c r="BT109" s="12"/>
      <c r="BU109" s="12"/>
      <c r="BV109" s="12"/>
      <c r="BW109" s="51"/>
      <c r="BX109" s="12" t="s">
        <v>134</v>
      </c>
      <c r="BY109" s="12" t="s">
        <v>131</v>
      </c>
      <c r="BZ109" s="12" t="s">
        <v>131</v>
      </c>
      <c r="CA109" s="12" t="s">
        <v>132</v>
      </c>
      <c r="CB109" s="12" t="s">
        <v>135</v>
      </c>
      <c r="CC109" s="12" t="s">
        <v>129</v>
      </c>
      <c r="CD109" s="12" t="s">
        <v>129</v>
      </c>
      <c r="CE109" s="12" t="s">
        <v>131</v>
      </c>
      <c r="CF109" s="12" t="s">
        <v>129</v>
      </c>
      <c r="CG109" s="12" t="s">
        <v>131</v>
      </c>
      <c r="CH109" s="10">
        <v>3</v>
      </c>
      <c r="CI109" s="10">
        <v>18</v>
      </c>
      <c r="CJ109" s="148"/>
      <c r="CK109" s="63"/>
    </row>
    <row r="110" spans="1:89" ht="15.75" thickBo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 t="s">
        <v>1004</v>
      </c>
      <c r="M110" s="33">
        <v>0</v>
      </c>
      <c r="N110" s="33">
        <v>221</v>
      </c>
      <c r="O110" s="33">
        <v>443</v>
      </c>
      <c r="P110" s="33">
        <v>951</v>
      </c>
      <c r="Q110" s="33">
        <v>2001</v>
      </c>
      <c r="R110" s="33">
        <v>4501</v>
      </c>
      <c r="S110" s="33">
        <v>9001</v>
      </c>
      <c r="T110" s="33">
        <v>16001</v>
      </c>
      <c r="U110" s="33">
        <v>32001</v>
      </c>
      <c r="V110" s="33">
        <v>65001</v>
      </c>
      <c r="W110" s="33">
        <v>120001</v>
      </c>
      <c r="X110" s="33">
        <v>170001</v>
      </c>
      <c r="Y110" s="34">
        <f>240001+MAX(0,SUMIFS(INDEX(választott_kasztok,,10),INDEX(választott_kasztok,,1),$L110)-13)*65000</f>
        <v>240001</v>
      </c>
      <c r="Z110" s="10">
        <v>8</v>
      </c>
      <c r="AA110" s="10">
        <v>16</v>
      </c>
      <c r="AB110" s="10">
        <v>71</v>
      </c>
      <c r="AC110" s="10">
        <v>0</v>
      </c>
      <c r="AD110" s="10">
        <f>MAX(4,SUMIFS(INDEX(választott_kasztok,,10),INDEX(választott_kasztok,,1),$L110)*4)</f>
        <v>4</v>
      </c>
      <c r="AE110" s="10">
        <f>MAX(1,SUMIFS(INDEX(választott_kasztok,,10),INDEX(választott_kasztok,,1),$L110)*1)</f>
        <v>1</v>
      </c>
      <c r="AF110" s="10">
        <f>MAX(1,SUMIFS(INDEX(választott_kasztok,,10),INDEX(választott_kasztok,,1),$L110)*1)</f>
        <v>1</v>
      </c>
      <c r="AG110" s="20">
        <f>IF(AND(többes_kaszt=iker_kaszt,váltás_kezdet=0,váltás_kezdet&lt;&gt;""),0,4)</f>
        <v>4</v>
      </c>
      <c r="AH110" s="10">
        <f>MAX(0,IF(választott_kaszt_1=$L110,IF(váltás_kezdet="",VLOOKUP($L110,választott_kasztok,10,FALSE)*4,MIN(VLOOKUP($L110,választott_kasztok,10,FALSE),váltás_kezdet)*4+IF(többes_kaszt=iker_kaszt,MAX(0,VLOOKUP($L110,választott_kasztok,10,FALSE)-váltás_kezdet),0)+IF(többes_kaszt=váltott_kaszt,MAX(0,váltás_kezdet-VLOOKUP($L110,választott_kasztok,10,FALSE))*4)),0)+IF(választott_kaszt_2=$L110,VLOOKUP($L110,választott_kasztok,10,FALSE)*IF(többes_kaszt=iker_kaszt,1,4),0))</f>
        <v>0</v>
      </c>
      <c r="AI110" s="10">
        <v>0</v>
      </c>
      <c r="AJ110" s="10">
        <v>4</v>
      </c>
      <c r="AK110" s="10">
        <v>3</v>
      </c>
      <c r="AL110" s="10">
        <f>MAX(1,SUMIFS(INDEX(választott_kasztok,,10),INDEX(választott_kasztok,,1),$L110))*(k6dobás+0)</f>
        <v>6</v>
      </c>
      <c r="AM110" s="10"/>
      <c r="AN110" s="20" t="s">
        <v>1181</v>
      </c>
      <c r="AO110" s="208"/>
      <c r="AP110" s="33">
        <v>0</v>
      </c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117">
        <f>240001+MAX(0,váltás_kezdet-13)*65000</f>
        <v>240001</v>
      </c>
      <c r="BB110" s="17">
        <f t="shared" si="199"/>
        <v>10</v>
      </c>
      <c r="BC110" s="31">
        <f t="shared" si="200"/>
        <v>11</v>
      </c>
      <c r="BD110" s="17">
        <f t="shared" si="201"/>
        <v>11</v>
      </c>
      <c r="BE110" s="17">
        <f t="shared" si="202"/>
        <v>10</v>
      </c>
      <c r="BF110" s="31">
        <f t="shared" si="203"/>
        <v>11</v>
      </c>
      <c r="BG110" s="17">
        <f t="shared" si="204"/>
        <v>10</v>
      </c>
      <c r="BH110" s="17">
        <f t="shared" si="205"/>
        <v>16</v>
      </c>
      <c r="BI110" s="116">
        <f t="shared" si="206"/>
        <v>18</v>
      </c>
      <c r="BJ110" s="17">
        <f t="shared" si="207"/>
        <v>16</v>
      </c>
      <c r="BK110" s="17">
        <f t="shared" si="208"/>
        <v>14</v>
      </c>
      <c r="BL110" s="17">
        <f t="shared" ref="BL110" si="227">MAX(0,SUM(tulajdonságok)-SUM($BB110:$BK110))</f>
        <v>0</v>
      </c>
      <c r="BM110" s="13">
        <f t="shared" si="223"/>
        <v>0</v>
      </c>
      <c r="BN110" s="12"/>
      <c r="BO110" s="12"/>
      <c r="BP110" s="12"/>
      <c r="BQ110" s="12"/>
      <c r="BR110" s="12"/>
      <c r="BS110" s="12"/>
      <c r="BT110" s="12"/>
      <c r="BU110" s="12"/>
      <c r="BV110" s="12"/>
      <c r="BW110" s="51"/>
      <c r="BX110" s="12" t="s">
        <v>128</v>
      </c>
      <c r="BY110" s="12" t="s">
        <v>129</v>
      </c>
      <c r="BZ110" s="12" t="s">
        <v>129</v>
      </c>
      <c r="CA110" s="12" t="s">
        <v>128</v>
      </c>
      <c r="CB110" s="12" t="s">
        <v>129</v>
      </c>
      <c r="CC110" s="12" t="s">
        <v>128</v>
      </c>
      <c r="CD110" s="12" t="s">
        <v>134</v>
      </c>
      <c r="CE110" s="12" t="s">
        <v>136</v>
      </c>
      <c r="CF110" s="12" t="s">
        <v>134</v>
      </c>
      <c r="CG110" s="12" t="s">
        <v>132</v>
      </c>
      <c r="CH110" s="20">
        <v>1</v>
      </c>
      <c r="CI110" s="10">
        <v>3</v>
      </c>
      <c r="CJ110" s="148"/>
      <c r="CK110" s="63"/>
    </row>
    <row r="111" spans="1:89" ht="15.75">
      <c r="A111" s="270" t="s">
        <v>1200</v>
      </c>
      <c r="B111" s="637" t="s">
        <v>1201</v>
      </c>
      <c r="C111" s="637"/>
      <c r="D111" s="637"/>
      <c r="E111" s="637"/>
      <c r="F111" s="637"/>
      <c r="G111" s="637"/>
      <c r="H111" s="637"/>
      <c r="I111" s="617"/>
      <c r="J111" s="10"/>
      <c r="K111" s="10"/>
      <c r="L111" s="10" t="s">
        <v>323</v>
      </c>
      <c r="M111" s="33">
        <v>0</v>
      </c>
      <c r="N111" s="33">
        <v>171</v>
      </c>
      <c r="O111" s="33">
        <v>351</v>
      </c>
      <c r="P111" s="33">
        <v>701</v>
      </c>
      <c r="Q111" s="33">
        <v>1501</v>
      </c>
      <c r="R111" s="33">
        <v>3001</v>
      </c>
      <c r="S111" s="33">
        <v>7001</v>
      </c>
      <c r="T111" s="33">
        <v>12001</v>
      </c>
      <c r="U111" s="33">
        <v>22001</v>
      </c>
      <c r="V111" s="33">
        <v>52501</v>
      </c>
      <c r="W111" s="33">
        <v>85501</v>
      </c>
      <c r="X111" s="33">
        <v>135001</v>
      </c>
      <c r="Y111" s="34">
        <f>175501+MAX(0,SUMIFS(INDEX(választott_kasztok,,10),INDEX(választott_kasztok,,1),$L111)-13)*58500</f>
        <v>175501</v>
      </c>
      <c r="Z111" s="20">
        <v>6</v>
      </c>
      <c r="AA111" s="20">
        <v>17</v>
      </c>
      <c r="AB111" s="20">
        <v>72</v>
      </c>
      <c r="AC111" s="20">
        <v>0</v>
      </c>
      <c r="AD111" s="37">
        <f>MAX(8,MIN(4,SUMIFS(INDEX(választott_kasztok,,10),INDEX(választott_kasztok,,10),$L111)*8)+MAX(0,SUMIFS(INDEX(választott_kasztok,,10),INDEX(választott_kasztok,,10),$L111)-4)*9)</f>
        <v>8</v>
      </c>
      <c r="AE111" s="10">
        <f t="shared" si="226"/>
        <v>3</v>
      </c>
      <c r="AF111" s="10">
        <f t="shared" si="226"/>
        <v>3</v>
      </c>
      <c r="AG111" s="20">
        <f>IF(AND(többes_kaszt=iker_kaszt,váltás_kezdet=0,váltás_kezdet&lt;&gt;""),0,3)</f>
        <v>3</v>
      </c>
      <c r="AH111" s="10">
        <f>MAX(0,IF(választott_kaszt_1=$L111,IF(váltás_kezdet="",VLOOKUP($L111,választott_kasztok,10,FALSE)*5,MIN(VLOOKUP($L111,választott_kasztok,10,FALSE),váltás_kezdet)*5+IF(többes_kaszt=iker_kaszt,MAX(0,VLOOKUP($L111,választott_kasztok,10,FALSE)-váltás_kezdet),0)+IF(többes_kaszt=váltott_kaszt,MAX(0,váltás_kezdet-VLOOKUP($L111,választott_kasztok,10,FALSE))*5)),0)+IF(választott_kaszt_2=$L111,VLOOKUP($L111,választott_kasztok,10,FALSE)*IF(többes_kaszt=iker_kaszt,1,5),0))</f>
        <v>0</v>
      </c>
      <c r="AI111" s="20">
        <v>0</v>
      </c>
      <c r="AJ111" s="20">
        <v>5</v>
      </c>
      <c r="AK111" s="20">
        <v>4</v>
      </c>
      <c r="AL111" s="10">
        <f>MAX(1,SUMIFS(INDEX(választott_kasztok,,10),INDEX(választott_kasztok,,1),$L111))*(k6dobás+1)</f>
        <v>7</v>
      </c>
      <c r="AM111" s="10">
        <f>MAX(6,SUMIFS(INDEX(választott_kasztok,,10),INDEX(választott_kasztok,,1),$L111)*6)</f>
        <v>6</v>
      </c>
      <c r="AN111" s="20" t="s">
        <v>1183</v>
      </c>
      <c r="AO111" s="209"/>
      <c r="AP111" s="33">
        <v>0</v>
      </c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117">
        <f>175501+MAX(0,váltás_kezdet-13)*58500</f>
        <v>175501</v>
      </c>
      <c r="BB111" s="17">
        <f t="shared" si="199"/>
        <v>13</v>
      </c>
      <c r="BC111" s="17">
        <f t="shared" si="200"/>
        <v>11</v>
      </c>
      <c r="BD111" s="17">
        <f t="shared" si="201"/>
        <v>11</v>
      </c>
      <c r="BE111" s="17">
        <f t="shared" si="202"/>
        <v>13</v>
      </c>
      <c r="BF111" s="17">
        <f t="shared" si="203"/>
        <v>13</v>
      </c>
      <c r="BG111" s="17">
        <f t="shared" si="204"/>
        <v>10</v>
      </c>
      <c r="BH111" s="17">
        <f t="shared" si="205"/>
        <v>13</v>
      </c>
      <c r="BI111" s="17">
        <f t="shared" si="206"/>
        <v>13</v>
      </c>
      <c r="BJ111" s="17">
        <f t="shared" si="207"/>
        <v>13</v>
      </c>
      <c r="BK111" s="17">
        <f t="shared" si="208"/>
        <v>13</v>
      </c>
      <c r="BL111" s="17">
        <f t="shared" si="224"/>
        <v>0</v>
      </c>
      <c r="BM111" s="13">
        <f t="shared" si="223"/>
        <v>0</v>
      </c>
      <c r="BN111" s="12"/>
      <c r="BO111" s="12"/>
      <c r="BP111" s="12"/>
      <c r="BQ111" s="12"/>
      <c r="BR111" s="12"/>
      <c r="BS111" s="12"/>
      <c r="BT111" s="12"/>
      <c r="BU111" s="12"/>
      <c r="BV111" s="12"/>
      <c r="BW111" s="51"/>
      <c r="BX111" s="12" t="s">
        <v>131</v>
      </c>
      <c r="BY111" s="12" t="s">
        <v>129</v>
      </c>
      <c r="BZ111" s="12" t="s">
        <v>129</v>
      </c>
      <c r="CA111" s="12" t="s">
        <v>131</v>
      </c>
      <c r="CB111" s="12" t="s">
        <v>131</v>
      </c>
      <c r="CC111" s="12" t="s">
        <v>128</v>
      </c>
      <c r="CD111" s="12" t="s">
        <v>131</v>
      </c>
      <c r="CE111" s="12" t="s">
        <v>131</v>
      </c>
      <c r="CF111" s="12" t="s">
        <v>131</v>
      </c>
      <c r="CG111" s="12" t="s">
        <v>131</v>
      </c>
      <c r="CH111" s="10">
        <v>3</v>
      </c>
      <c r="CI111" s="10">
        <v>18</v>
      </c>
      <c r="CJ111" s="148"/>
      <c r="CK111" s="63"/>
    </row>
    <row r="112" spans="1:89">
      <c r="A112" s="218" t="s">
        <v>689</v>
      </c>
      <c r="B112" s="219" t="str">
        <f>"Telekinézis ("&amp;TEXT(MAX(INDEX(választott_kasztok,,10))*10,"0")&amp;" kg, 10 perc, 1/nap)"</f>
        <v>Telekinézis (0 kg, 10 perc, 1/nap)</v>
      </c>
      <c r="C112" s="219" t="s">
        <v>1204</v>
      </c>
      <c r="D112" s="219" t="s">
        <v>1270</v>
      </c>
      <c r="E112" s="219" t="s">
        <v>1206</v>
      </c>
      <c r="F112" s="219"/>
      <c r="G112" s="219"/>
      <c r="H112" s="219"/>
      <c r="I112" s="220"/>
      <c r="J112" s="10"/>
      <c r="K112" s="10"/>
      <c r="L112" s="10" t="s">
        <v>357</v>
      </c>
      <c r="M112" s="33">
        <v>0</v>
      </c>
      <c r="N112" s="33">
        <v>201</v>
      </c>
      <c r="O112" s="33">
        <v>401</v>
      </c>
      <c r="P112" s="33">
        <v>801</v>
      </c>
      <c r="Q112" s="33">
        <v>1601</v>
      </c>
      <c r="R112" s="33">
        <v>4001</v>
      </c>
      <c r="S112" s="33">
        <v>8001</v>
      </c>
      <c r="T112" s="33">
        <v>16001</v>
      </c>
      <c r="U112" s="33">
        <v>32001</v>
      </c>
      <c r="V112" s="33">
        <v>59001</v>
      </c>
      <c r="W112" s="33">
        <v>90501</v>
      </c>
      <c r="X112" s="33">
        <v>140001</v>
      </c>
      <c r="Y112" s="34">
        <f>190001+MAX(0,SUMIFS(INDEX(választott_kasztok,,10),INDEX(választott_kasztok,,1),$L112)-13)*55000</f>
        <v>190001</v>
      </c>
      <c r="Z112" s="10">
        <v>5</v>
      </c>
      <c r="AA112" s="10">
        <v>15</v>
      </c>
      <c r="AB112" s="10">
        <v>75</v>
      </c>
      <c r="AC112" s="10">
        <v>0</v>
      </c>
      <c r="AD112" s="10">
        <f>MAX(8,SUMIFS(INDEX(választott_kasztok,,10),INDEX(választott_kasztok,,1),$L112)*8)</f>
        <v>8</v>
      </c>
      <c r="AE112" s="10">
        <f>MAX(2,SUMIFS(INDEX(választott_kasztok,,10),INDEX(választott_kasztok,,1),$L112)*2)</f>
        <v>2</v>
      </c>
      <c r="AF112" s="10">
        <f>MAX(4,SUMIFS(INDEX(választott_kasztok,,10),INDEX(választott_kasztok,,1),$L112)*4)</f>
        <v>4</v>
      </c>
      <c r="AG112" s="20">
        <f>IF(AND(többes_kaszt=iker_kaszt,váltás_kezdet=0,váltás_kezdet&lt;&gt;""),0,5)</f>
        <v>5</v>
      </c>
      <c r="AH112" s="10">
        <f>MAX(0,IF(választott_kaszt_1=$L112,IF(váltás_kezdet="",VLOOKUP($L112,választott_kasztok,10,FALSE)*8,MIN(VLOOKUP($L112,választott_kasztok,10,FALSE),váltás_kezdet)*8+IF(többes_kaszt=iker_kaszt,MAX(0,VLOOKUP($L112,választott_kasztok,10,FALSE)-váltás_kezdet),0)+IF(többes_kaszt=váltott_kaszt,MAX(0,váltás_kezdet-VLOOKUP($L112,választott_kasztok,10,FALSE))*8)),0)+IF(választott_kaszt_2=$L112,VLOOKUP($L112,választott_kasztok,10,FALSE)*IF(többes_kaszt=iker_kaszt,1,8),0))</f>
        <v>0</v>
      </c>
      <c r="AI112" s="20">
        <v>0</v>
      </c>
      <c r="AJ112" s="20">
        <v>4</v>
      </c>
      <c r="AK112" s="20">
        <v>8</v>
      </c>
      <c r="AL112" s="10">
        <f>MAX(1,SUMIFS(INDEX(választott_kasztok,,10),INDEX(választott_kasztok,,1),$L112))*(k6dobás+5)</f>
        <v>11</v>
      </c>
      <c r="AM112" s="10">
        <f>MAX(9,MIN(1,SUMIFS(INDEX(választott_kasztok,,10),INDEX(választott_kasztok,,1),$L112))*9+MAX(0,SUMIFS(INDEX(választott_kasztok,,10),INDEX(választott_kasztok,,1),$L112)-1)*(6+ROUNDUP(k6dobás/2,0)))</f>
        <v>9</v>
      </c>
      <c r="AN112" s="20" t="s">
        <v>1183</v>
      </c>
      <c r="AO112" s="209"/>
      <c r="AP112" s="33">
        <v>0</v>
      </c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117">
        <f>190001+MAX(0,váltás_kezdet-13)*55000</f>
        <v>190001</v>
      </c>
      <c r="BB112" s="17">
        <f t="shared" si="199"/>
        <v>13</v>
      </c>
      <c r="BC112" s="17">
        <f t="shared" si="200"/>
        <v>13</v>
      </c>
      <c r="BD112" s="17">
        <f t="shared" si="201"/>
        <v>13</v>
      </c>
      <c r="BE112" s="17">
        <f t="shared" si="202"/>
        <v>16</v>
      </c>
      <c r="BF112" s="17">
        <f t="shared" si="203"/>
        <v>11</v>
      </c>
      <c r="BG112" s="17">
        <f t="shared" si="204"/>
        <v>11</v>
      </c>
      <c r="BH112" s="17">
        <f t="shared" si="205"/>
        <v>13</v>
      </c>
      <c r="BI112" s="17">
        <f t="shared" si="206"/>
        <v>16</v>
      </c>
      <c r="BJ112" s="17">
        <f t="shared" si="207"/>
        <v>16</v>
      </c>
      <c r="BK112" s="17">
        <f t="shared" si="208"/>
        <v>14</v>
      </c>
      <c r="BL112" s="17">
        <f>MAX(0,SUM(tulajdonságok)-SUM($BB112:$BK112))</f>
        <v>0</v>
      </c>
      <c r="BM112" s="13">
        <f t="shared" si="223"/>
        <v>0</v>
      </c>
      <c r="BN112" s="12"/>
      <c r="BO112" s="12"/>
      <c r="BP112" s="12"/>
      <c r="BQ112" s="12"/>
      <c r="BR112" s="12"/>
      <c r="BS112" s="12"/>
      <c r="BT112" s="12" t="s">
        <v>262</v>
      </c>
      <c r="BU112" s="12"/>
      <c r="BV112" s="12"/>
      <c r="BW112" s="51"/>
      <c r="BX112" s="12" t="s">
        <v>131</v>
      </c>
      <c r="BY112" s="12" t="s">
        <v>131</v>
      </c>
      <c r="BZ112" s="12" t="s">
        <v>131</v>
      </c>
      <c r="CA112" s="12" t="s">
        <v>134</v>
      </c>
      <c r="CB112" s="12" t="s">
        <v>129</v>
      </c>
      <c r="CC112" s="12" t="s">
        <v>129</v>
      </c>
      <c r="CD112" s="12" t="s">
        <v>131</v>
      </c>
      <c r="CE112" s="12" t="s">
        <v>134</v>
      </c>
      <c r="CF112" s="12" t="s">
        <v>134</v>
      </c>
      <c r="CG112" s="12" t="s">
        <v>132</v>
      </c>
      <c r="CH112" s="10">
        <v>3</v>
      </c>
      <c r="CI112" s="10">
        <v>6</v>
      </c>
      <c r="CJ112" s="148"/>
      <c r="CK112" s="63"/>
    </row>
    <row r="113" spans="1:89" s="148" customFormat="1">
      <c r="A113" s="218" t="s">
        <v>690</v>
      </c>
      <c r="B113" s="219" t="s">
        <v>1203</v>
      </c>
      <c r="C113" s="219" t="str">
        <f>"Telekinézis ("&amp;TEXT(MAX(INDEX(választott_kasztok,,10))*10,"0")&amp;" kg, 10 perc, 1/nap)"</f>
        <v>Telekinézis (0 kg, 10 perc, 1/nap)</v>
      </c>
      <c r="D113" s="219" t="s">
        <v>1204</v>
      </c>
      <c r="E113" s="219" t="s">
        <v>1205</v>
      </c>
      <c r="F113" s="219" t="s">
        <v>1206</v>
      </c>
      <c r="G113" s="219"/>
      <c r="H113" s="219"/>
      <c r="I113" s="220"/>
      <c r="J113" s="10"/>
      <c r="K113" s="10"/>
      <c r="L113" s="261" t="s">
        <v>324</v>
      </c>
      <c r="M113" s="33">
        <v>0</v>
      </c>
      <c r="N113" s="33">
        <v>161</v>
      </c>
      <c r="O113" s="33">
        <v>321</v>
      </c>
      <c r="P113" s="33">
        <v>641</v>
      </c>
      <c r="Q113" s="33">
        <v>1441</v>
      </c>
      <c r="R113" s="34">
        <v>2801</v>
      </c>
      <c r="S113" s="33">
        <v>5601</v>
      </c>
      <c r="T113" s="33">
        <v>10001</v>
      </c>
      <c r="U113" s="33">
        <v>20001</v>
      </c>
      <c r="V113" s="33">
        <v>40001</v>
      </c>
      <c r="W113" s="33">
        <v>60001</v>
      </c>
      <c r="X113" s="33">
        <v>80001</v>
      </c>
      <c r="Y113" s="34">
        <f>112001+MAX(0,SUMIFS(INDEX(választott_kasztok,,10),INDEX(választott_kasztok,,1),$L113)-13)*31200</f>
        <v>112001</v>
      </c>
      <c r="Z113" s="10">
        <f>IF(SUMIFS(INDEX(választott_kasztok,,10),INDEX(választott_kasztok,,1),$L113)&gt;4,4,0)</f>
        <v>0</v>
      </c>
      <c r="AA113" s="10">
        <f>IF(SUMIFS(INDEX(választott_kasztok,,10),INDEX(választott_kasztok,,1),$L113)&gt;4,15,0)</f>
        <v>0</v>
      </c>
      <c r="AB113" s="10">
        <f>IF(SUMIFS(INDEX(választott_kasztok,,10),INDEX(választott_kasztok,,1),$L113)&gt;4,70,0)</f>
        <v>0</v>
      </c>
      <c r="AC113" s="10">
        <v>0</v>
      </c>
      <c r="AD113" s="10">
        <f>IF(SUMIFS(INDEX(választott_kasztok,,10),INDEX(választott_kasztok,,1),$L113)&gt;4,MAX(11,SUMIFS(INDEX(választott_kasztok,,10),INDEX(választott_kasztok,,1),$L113)*11-MAX(0,MIN(2,SUMIFS(INDEX(választott_kasztok,,10),INDEX(választott_kasztok,,1),$L113)-4))*11),0)</f>
        <v>0</v>
      </c>
      <c r="AE113" s="10">
        <f>IF(SUMIFS(INDEX(választott_kasztok,,10),INDEX(választott_kasztok,,1),$L113)&gt;4,MAX(3,SUMIFS(INDEX(választott_kasztok,,10),INDEX(választott_kasztok,,1),$L113)*3-MAX(0,MIN(2,SUMIFS(INDEX(választott_kasztok,,10),INDEX(választott_kasztok,,1),$L113)-4))*3),0)</f>
        <v>0</v>
      </c>
      <c r="AF113" s="10">
        <f>IF(SUMIFS(INDEX(választott_kasztok,,10),INDEX(választott_kasztok,,1),$L113)&gt;4,MAX(3,SUMIFS(INDEX(választott_kasztok,,10),INDEX(választott_kasztok,,1),$L113)*3-MAX(0,MIN(2,SUMIFS(INDEX(választott_kasztok,,10),INDEX(választott_kasztok,,1),$L113)-4))*3),0)</f>
        <v>0</v>
      </c>
      <c r="AG113" s="20">
        <f>IF(SUMIFS(INDEX(választott_kasztok,,10),INDEX(választott_kasztok,,1),$L113)&gt;4,IF(AND(többes_kaszt=iker_kaszt,váltás_kezdet=0,váltás_kezdet&lt;&gt;""),0,3),0)</f>
        <v>0</v>
      </c>
      <c r="AH113" s="20">
        <f>IF(SUMIFS(INDEX(választott_kasztok,,10),INDEX(választott_kasztok,,1),$L113)&gt;4,MAX(0,IF(választott_kaszt_1=$L113,IF(váltás_kezdet="",(VLOOKUP($L113,választott_kasztok,10,FALSE)-MAX(0,MIN(2,VLOOKUP($L113,választott_kasztok,10,FALSE)-4)))*14,(MIN(VLOOKUP($L113,választott_kasztok,10,FALSE),váltás_kezdet)-MAX(0,MIN(2,MIN(VLOOKUP($L113,választott_kasztok,10,FALSE),váltás_kezdet))))*14+IF(többes_kaszt=iker_kaszt,MAX(0,VLOOKUP($L113,választott_kasztok,10,FALSE)-váltás_kezdet),0)+IF(többes_kaszt=váltott_kaszt,(MAX(0,váltás_kezdet-VLOOKUP($L113,választott_kasztok,10,FALSE))-MAX(0,MIN(2,6-VLOOKUP($L113,választott_kasztok,10,FALSE))))*14)),0)+IF(választott_kaszt_2=$L113,IF(VLOOKUP($L113,választott_kasztok,10,FALSE)&gt;4,VLOOKUP($L113,választott_kasztok,10,FALSE)-MAX(0,MIN(2,VLOOKUP($L113,választott_kasztok,10,FALSE)-4)),0)*IF(többes_kaszt=iker_kaszt,1,14),0)),0)</f>
        <v>0</v>
      </c>
      <c r="AI113" s="10">
        <v>0</v>
      </c>
      <c r="AJ113" s="10">
        <f>IF(SUMIFS(INDEX(választott_kasztok,,10),INDEX(választott_kasztok,,1),$L113)&gt;4,7+(k6dobás/2),0)</f>
        <v>0</v>
      </c>
      <c r="AK113" s="10">
        <f>IF(SUMIFS(INDEX(választott_kasztok,,10),INDEX(választott_kasztok,,1),$L113)&gt;4,6,0)</f>
        <v>0</v>
      </c>
      <c r="AL113" s="10">
        <f>IF(SUMIFS(INDEX(választott_kasztok,,10),INDEX(választott_kasztok,,1),$L113)&gt;4,MAX(1,SUMIFS(INDEX(választott_kasztok,,10),INDEX(választott_kasztok,,1),$L113))*(k6dobás+4),0)</f>
        <v>0</v>
      </c>
      <c r="AM113" s="10"/>
      <c r="AN113" s="20" t="str">
        <f>IF(OR(SUMIFS(INDEX(választott_kasztok,,10),INDEX(választott_kasztok,,1),lovag)&gt;4,tanultAfTSZ&gt;0,tanultMfTSZ&gt;0),pyarroni,nincsen)</f>
        <v>nincs</v>
      </c>
      <c r="AO113" s="209" t="str">
        <f>TEXT(IF(tanultMfkaszt=0,IF(SUMIFS(INDEX(választott_kasztok,,10),INDEX(választott_kasztok,,1),$L113)&lt;5,0,5),IF(INDEX(választott_kasztok,tanultMfkaszt,1)=$L113,IF(OR(tanultMfTSZ=0,tanultMfTSZ&gt;MIN(5,SUMIFS(INDEX(választott_kasztok,,10),INDEX(választott_kasztok,,1),$L113))),IF(SUMIFS(INDEX(választott_kasztok,,10),INDEX(választott_kasztok,,1),$L113)&lt;5,0,5),MIN(5,tanultMfTSZ)),0)),"00")&amp;TEXT(IF(tanultAfkaszt=0,IF(SUMIFS(INDEX(választott_kasztok,,10),INDEX(választott_kasztok,,1),$L113)&lt;5,0,5),IF(INDEX(választott_kasztok,tanultAfkaszt,1)=$L113,IF(OR(tanultAfTSZ=0,tanultAfTSZ&gt;MIN(5,SUMIFS(INDEX(választott_kasztok,,10),INDEX(választott_kasztok,,1),$L113))),IF(SUMIFS(INDEX(választott_kasztok,,10),INDEX(választott_kasztok,,1),$L113)&lt;5,0,5),MIN(5,tanultAfTSZ)),0)),"00")&amp;"01"</f>
        <v>000001</v>
      </c>
      <c r="AP113" s="33">
        <v>0</v>
      </c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117">
        <f>112001+MAX(0,váltás_kezdet-13)*31200</f>
        <v>112001</v>
      </c>
      <c r="BB113" s="17">
        <f t="shared" si="199"/>
        <v>16</v>
      </c>
      <c r="BC113" s="17">
        <f t="shared" si="200"/>
        <v>13</v>
      </c>
      <c r="BD113" s="17">
        <f t="shared" si="201"/>
        <v>13</v>
      </c>
      <c r="BE113" s="17">
        <f t="shared" si="202"/>
        <v>14</v>
      </c>
      <c r="BF113" s="116">
        <f t="shared" si="203"/>
        <v>16</v>
      </c>
      <c r="BG113" s="17">
        <f t="shared" si="204"/>
        <v>11</v>
      </c>
      <c r="BH113" s="17">
        <f t="shared" si="205"/>
        <v>11</v>
      </c>
      <c r="BI113" s="17">
        <f t="shared" si="206"/>
        <v>13</v>
      </c>
      <c r="BJ113" s="17">
        <f t="shared" si="207"/>
        <v>11</v>
      </c>
      <c r="BK113" s="17">
        <f t="shared" si="208"/>
        <v>13</v>
      </c>
      <c r="BL113" s="17">
        <f t="shared" si="224"/>
        <v>0</v>
      </c>
      <c r="BM113" s="13">
        <f t="shared" si="223"/>
        <v>0</v>
      </c>
      <c r="BN113" s="12" t="s">
        <v>262</v>
      </c>
      <c r="BO113" s="12" t="s">
        <v>262</v>
      </c>
      <c r="BP113" s="12" t="s">
        <v>262</v>
      </c>
      <c r="BQ113" s="12" t="s">
        <v>262</v>
      </c>
      <c r="BR113" s="12"/>
      <c r="BS113" s="12"/>
      <c r="BT113" s="12"/>
      <c r="BU113" s="12"/>
      <c r="BV113" s="12"/>
      <c r="BW113" s="51"/>
      <c r="BX113" s="12" t="s">
        <v>134</v>
      </c>
      <c r="BY113" s="12" t="s">
        <v>131</v>
      </c>
      <c r="BZ113" s="12" t="s">
        <v>131</v>
      </c>
      <c r="CA113" s="12" t="s">
        <v>132</v>
      </c>
      <c r="CB113" s="12" t="s">
        <v>135</v>
      </c>
      <c r="CC113" s="12" t="s">
        <v>129</v>
      </c>
      <c r="CD113" s="12" t="s">
        <v>129</v>
      </c>
      <c r="CE113" s="12" t="s">
        <v>131</v>
      </c>
      <c r="CF113" s="12" t="s">
        <v>129</v>
      </c>
      <c r="CG113" s="12" t="s">
        <v>131</v>
      </c>
      <c r="CH113" s="10">
        <v>3</v>
      </c>
      <c r="CI113" s="10">
        <v>18</v>
      </c>
      <c r="CK113" s="63"/>
    </row>
    <row r="114" spans="1:89" s="148" customFormat="1">
      <c r="A114" s="218" t="s">
        <v>255</v>
      </c>
      <c r="B114" s="219" t="s">
        <v>1207</v>
      </c>
      <c r="C114" s="219" t="s">
        <v>1208</v>
      </c>
      <c r="D114" s="219" t="s">
        <v>1209</v>
      </c>
      <c r="E114" s="219"/>
      <c r="F114" s="219"/>
      <c r="G114" s="219"/>
      <c r="H114" s="219"/>
      <c r="I114" s="220"/>
      <c r="J114" s="10"/>
      <c r="K114" s="10"/>
      <c r="L114" s="20" t="s">
        <v>1193</v>
      </c>
      <c r="M114" s="33">
        <v>0</v>
      </c>
      <c r="N114" s="33">
        <v>176</v>
      </c>
      <c r="O114" s="33">
        <v>353</v>
      </c>
      <c r="P114" s="33">
        <v>721</v>
      </c>
      <c r="Q114" s="33">
        <v>1501</v>
      </c>
      <c r="R114" s="33">
        <v>3501</v>
      </c>
      <c r="S114" s="33">
        <v>7001</v>
      </c>
      <c r="T114" s="33">
        <v>10501</v>
      </c>
      <c r="U114" s="33">
        <v>21001</v>
      </c>
      <c r="V114" s="33">
        <v>48001</v>
      </c>
      <c r="W114" s="33">
        <v>78001</v>
      </c>
      <c r="X114" s="33">
        <v>108001</v>
      </c>
      <c r="Y114" s="34">
        <f>138001+MAX(0,SUMIFS(INDEX(választott_kasztok,,10),INDEX(választott_kasztok,,1),$L114)-13)*38000</f>
        <v>138001</v>
      </c>
      <c r="Z114" s="20">
        <v>5</v>
      </c>
      <c r="AA114" s="20">
        <v>20</v>
      </c>
      <c r="AB114" s="20">
        <v>75</v>
      </c>
      <c r="AC114" s="20">
        <v>0</v>
      </c>
      <c r="AD114" s="10">
        <f>MAX(9,SUMIFS(INDEX(választott_kasztok,,10),INDEX(választott_kasztok,,1),$L114)*9)</f>
        <v>9</v>
      </c>
      <c r="AE114" s="10">
        <f t="shared" ref="AE114:AF126" si="228">MAX(3,SUMIFS(INDEX(választott_kasztok,,10),INDEX(választott_kasztok,,1),$L114)*3)</f>
        <v>3</v>
      </c>
      <c r="AF114" s="10">
        <f t="shared" si="228"/>
        <v>3</v>
      </c>
      <c r="AG114" s="20">
        <f>IF(AND(többes_kaszt=iker_kaszt,váltás_kezdet=0,váltás_kezdet&lt;&gt;""),0,5)</f>
        <v>5</v>
      </c>
      <c r="AH114" s="10">
        <f>MAX(0,IF(választott_kaszt_1=$L114,IF(váltás_kezdet="",VLOOKUP($L114,választott_kasztok,10,FALSE)*5,MIN(VLOOKUP($L114,választott_kasztok,10,FALSE),váltás_kezdet)*5+IF(többes_kaszt=iker_kaszt,MAX(0,VLOOKUP($L114,választott_kasztok,10,FALSE)-váltás_kezdet),0)+IF(többes_kaszt=váltott_kaszt,MAX(0,váltás_kezdet-VLOOKUP($L114,választott_kasztok,10,FALSE))*5)),0)+IF(választott_kaszt_2=$L114,VLOOKUP($L114,választott_kasztok,10,FALSE)*IF(többes_kaszt=iker_kaszt,1,5),0))</f>
        <v>0</v>
      </c>
      <c r="AI114" s="20">
        <v>0</v>
      </c>
      <c r="AJ114" s="20">
        <v>8</v>
      </c>
      <c r="AK114" s="20">
        <v>7</v>
      </c>
      <c r="AL114" s="10">
        <f>MAX(1,SUMIFS(INDEX(választott_kasztok,,10),INDEX(választott_kasztok,,1),$L114))*(k6dobás+5)</f>
        <v>11</v>
      </c>
      <c r="AM114" s="10">
        <f>MAX(9,MIN(1,SUMIFS(INDEX(választott_kasztok,,10),INDEX(választott_kasztok,,1),$L114))*9+MAX(0,SUMIFS(INDEX(választott_kasztok,,10),INDEX(választott_kasztok,,1),$L114)-1)*(6+ROUNDUP(k6dobás/2,0)))</f>
        <v>9</v>
      </c>
      <c r="AN114" s="20" t="s">
        <v>107</v>
      </c>
      <c r="AO114" s="208"/>
      <c r="AP114" s="33">
        <v>0</v>
      </c>
      <c r="AQ114" s="56"/>
      <c r="AR114" s="56">
        <v>30</v>
      </c>
      <c r="AS114" s="56">
        <v>15</v>
      </c>
      <c r="AT114" s="56"/>
      <c r="AU114" s="56"/>
      <c r="AV114" s="56"/>
      <c r="AW114" s="56"/>
      <c r="AX114" s="56"/>
      <c r="AY114" s="56"/>
      <c r="AZ114" s="56"/>
      <c r="BA114" s="117">
        <f>138001+MAX(0,váltás_kezdet-13)*38000</f>
        <v>138001</v>
      </c>
      <c r="BB114" s="17">
        <f t="shared" si="199"/>
        <v>14</v>
      </c>
      <c r="BC114" s="17">
        <f t="shared" si="200"/>
        <v>11</v>
      </c>
      <c r="BD114" s="17">
        <f t="shared" si="201"/>
        <v>11</v>
      </c>
      <c r="BE114" s="17">
        <f t="shared" si="202"/>
        <v>14</v>
      </c>
      <c r="BF114" s="116">
        <f t="shared" si="203"/>
        <v>16</v>
      </c>
      <c r="BG114" s="17">
        <f t="shared" si="204"/>
        <v>14</v>
      </c>
      <c r="BH114" s="17">
        <f t="shared" si="205"/>
        <v>13</v>
      </c>
      <c r="BI114" s="17">
        <f t="shared" si="206"/>
        <v>14</v>
      </c>
      <c r="BJ114" s="17">
        <f t="shared" si="207"/>
        <v>16</v>
      </c>
      <c r="BK114" s="17">
        <f t="shared" si="208"/>
        <v>14</v>
      </c>
      <c r="BL114" s="17">
        <f>MAX(0,SUM(tulajdonságok)-SUM($BB114:$BK114))</f>
        <v>0</v>
      </c>
      <c r="BM114" s="13">
        <f t="shared" si="223"/>
        <v>0</v>
      </c>
      <c r="BN114" s="12"/>
      <c r="BO114" s="12"/>
      <c r="BP114" s="12"/>
      <c r="BQ114" s="12"/>
      <c r="BR114" s="12"/>
      <c r="BS114" s="12"/>
      <c r="BT114" s="12"/>
      <c r="BU114" s="12" t="s">
        <v>262</v>
      </c>
      <c r="BV114" s="12" t="s">
        <v>262</v>
      </c>
      <c r="BW114" s="51"/>
      <c r="BX114" s="12" t="s">
        <v>132</v>
      </c>
      <c r="BY114" s="12" t="s">
        <v>129</v>
      </c>
      <c r="BZ114" s="12" t="s">
        <v>129</v>
      </c>
      <c r="CA114" s="12" t="s">
        <v>132</v>
      </c>
      <c r="CB114" s="12" t="s">
        <v>135</v>
      </c>
      <c r="CC114" s="12" t="s">
        <v>132</v>
      </c>
      <c r="CD114" s="12" t="s">
        <v>131</v>
      </c>
      <c r="CE114" s="12" t="s">
        <v>132</v>
      </c>
      <c r="CF114" s="12" t="s">
        <v>134</v>
      </c>
      <c r="CG114" s="12" t="s">
        <v>132</v>
      </c>
      <c r="CH114" s="10">
        <v>3</v>
      </c>
      <c r="CI114" s="10">
        <v>6</v>
      </c>
      <c r="CK114" s="63"/>
    </row>
    <row r="115" spans="1:89" s="148" customFormat="1">
      <c r="A115" s="218" t="s">
        <v>246</v>
      </c>
      <c r="B115" s="219" t="s">
        <v>1215</v>
      </c>
      <c r="C115" s="219" t="s">
        <v>1211</v>
      </c>
      <c r="D115" s="219" t="s">
        <v>1210</v>
      </c>
      <c r="E115" s="219" t="str">
        <f>"Könnyű futás, "&amp;TEXT(2*MAX(0,állóképesség-10),"0")&amp;" órányi"</f>
        <v>Könnyű futás, 0 órányi</v>
      </c>
      <c r="F115" s="219" t="s">
        <v>1212</v>
      </c>
      <c r="G115" s="219" t="s">
        <v>1213</v>
      </c>
      <c r="H115" s="219" t="s">
        <v>1214</v>
      </c>
      <c r="I115" s="220" t="s">
        <v>1222</v>
      </c>
      <c r="J115" s="10" t="s">
        <v>1220</v>
      </c>
      <c r="K115" s="10"/>
      <c r="L115" s="20" t="s">
        <v>325</v>
      </c>
      <c r="M115" s="34">
        <v>0</v>
      </c>
      <c r="N115" s="34">
        <v>161</v>
      </c>
      <c r="O115" s="34">
        <v>331</v>
      </c>
      <c r="P115" s="34">
        <v>661</v>
      </c>
      <c r="Q115" s="34">
        <v>1301</v>
      </c>
      <c r="R115" s="34">
        <v>2601</v>
      </c>
      <c r="S115" s="34">
        <v>5001</v>
      </c>
      <c r="T115" s="34">
        <v>9001</v>
      </c>
      <c r="U115" s="34">
        <v>23001</v>
      </c>
      <c r="V115" s="34">
        <v>50001</v>
      </c>
      <c r="W115" s="34">
        <v>90001</v>
      </c>
      <c r="X115" s="34">
        <v>130001</v>
      </c>
      <c r="Y115" s="34">
        <f>165001+MAX(0,SUMIFS(INDEX(választott_kasztok,,10),INDEX(választott_kasztok,,1),$L115)-13)*50000</f>
        <v>165001</v>
      </c>
      <c r="Z115" s="20">
        <v>5</v>
      </c>
      <c r="AA115" s="20">
        <v>17</v>
      </c>
      <c r="AB115" s="20">
        <v>72</v>
      </c>
      <c r="AC115" s="20">
        <v>0</v>
      </c>
      <c r="AD115" s="10">
        <f>MAX(8,SUMIFS(INDEX(választott_kasztok,,10),INDEX(választott_kasztok,,1),$L115)*8)</f>
        <v>8</v>
      </c>
      <c r="AE115" s="10">
        <f t="shared" si="228"/>
        <v>3</v>
      </c>
      <c r="AF115" s="10">
        <f t="shared" si="228"/>
        <v>3</v>
      </c>
      <c r="AG115" s="20">
        <f>IF(AND(többes_kaszt=iker_kaszt,váltás_kezdet=0,váltás_kezdet&lt;&gt;""),0,6)</f>
        <v>6</v>
      </c>
      <c r="AH115" s="10">
        <f>MAX(0,IF(választott_kaszt_1=$L115,IF(váltás_kezdet="",VLOOKUP($L115,választott_kasztok,10,FALSE)*10,MIN(VLOOKUP($L115,választott_kasztok,10,FALSE),váltás_kezdet)*10+IF(többes_kaszt=iker_kaszt,MAX(0,VLOOKUP($L115,választott_kasztok,10,FALSE)-váltás_kezdet),0)+IF(többes_kaszt=váltott_kaszt,MAX(0,váltás_kezdet-VLOOKUP($L115,választott_kasztok,10,FALSE))*10)),0)+IF(választott_kaszt_2=$L115,VLOOKUP($L115,választott_kasztok,10,FALSE)*IF(többes_kaszt=iker_kaszt,1,10),0))</f>
        <v>0</v>
      </c>
      <c r="AI115" s="20">
        <v>0</v>
      </c>
      <c r="AJ115" s="20">
        <v>3</v>
      </c>
      <c r="AK115" s="20">
        <v>7</v>
      </c>
      <c r="AL115" s="10">
        <f>MAX(1,SUMIFS(INDEX(választott_kasztok,,10),INDEX(választott_kasztok,,1),$L115))*(k6dobás+3)</f>
        <v>9</v>
      </c>
      <c r="AM115" s="10">
        <f>MAX(9,MIN(1,SUMIFS(INDEX(választott_kasztok,,10),INDEX(választott_kasztok,,1),$L115))*9+MAX(0,SUMIFS(INDEX(választott_kasztok,,10),INDEX(választott_kasztok,,1),$L115)-1)*(6+ROUNDUP(k6dobás/2,0)))</f>
        <v>9</v>
      </c>
      <c r="AN115" s="20" t="s">
        <v>1183</v>
      </c>
      <c r="AO115" s="209"/>
      <c r="AP115" s="34">
        <v>0</v>
      </c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117">
        <f>165001+MAX(0,váltás_kezdet-13)*50000</f>
        <v>165001</v>
      </c>
      <c r="BB115" s="17">
        <f t="shared" si="199"/>
        <v>13</v>
      </c>
      <c r="BC115" s="17">
        <f t="shared" si="200"/>
        <v>11</v>
      </c>
      <c r="BD115" s="17">
        <f t="shared" si="201"/>
        <v>11</v>
      </c>
      <c r="BE115" s="17">
        <f t="shared" si="202"/>
        <v>13</v>
      </c>
      <c r="BF115" s="17">
        <f t="shared" si="203"/>
        <v>14</v>
      </c>
      <c r="BG115" s="116">
        <f t="shared" si="204"/>
        <v>16</v>
      </c>
      <c r="BH115" s="17">
        <f t="shared" si="205"/>
        <v>14</v>
      </c>
      <c r="BI115" s="17">
        <f t="shared" si="206"/>
        <v>14</v>
      </c>
      <c r="BJ115" s="17">
        <f t="shared" si="207"/>
        <v>16</v>
      </c>
      <c r="BK115" s="17">
        <f t="shared" si="208"/>
        <v>14</v>
      </c>
      <c r="BL115" s="17">
        <f t="shared" si="224"/>
        <v>0</v>
      </c>
      <c r="BM115" s="13">
        <f t="shared" si="223"/>
        <v>0</v>
      </c>
      <c r="BN115" s="12"/>
      <c r="BO115" s="12"/>
      <c r="BP115" s="12"/>
      <c r="BQ115" s="12"/>
      <c r="BR115" s="12"/>
      <c r="BS115" s="12"/>
      <c r="BT115" s="12" t="s">
        <v>262</v>
      </c>
      <c r="BU115" s="12"/>
      <c r="BV115" s="12" t="s">
        <v>262</v>
      </c>
      <c r="BW115" s="51"/>
      <c r="BX115" s="12" t="s">
        <v>131</v>
      </c>
      <c r="BY115" s="12" t="s">
        <v>129</v>
      </c>
      <c r="BZ115" s="12" t="s">
        <v>129</v>
      </c>
      <c r="CA115" s="12" t="s">
        <v>131</v>
      </c>
      <c r="CB115" s="12" t="s">
        <v>132</v>
      </c>
      <c r="CC115" s="12" t="s">
        <v>135</v>
      </c>
      <c r="CD115" s="12" t="s">
        <v>132</v>
      </c>
      <c r="CE115" s="12" t="s">
        <v>132</v>
      </c>
      <c r="CF115" s="12" t="s">
        <v>134</v>
      </c>
      <c r="CG115" s="12" t="s">
        <v>132</v>
      </c>
      <c r="CH115" s="10">
        <v>3</v>
      </c>
      <c r="CI115" s="10">
        <v>6</v>
      </c>
      <c r="CK115" s="63"/>
    </row>
    <row r="116" spans="1:89" s="148" customFormat="1">
      <c r="A116" s="218" t="s">
        <v>277</v>
      </c>
      <c r="B116" s="219" t="s">
        <v>1202</v>
      </c>
      <c r="C116" s="219"/>
      <c r="D116" s="219"/>
      <c r="E116" s="219"/>
      <c r="F116" s="219"/>
      <c r="G116" s="219"/>
      <c r="H116" s="219"/>
      <c r="I116" s="220" t="str">
        <f>""</f>
        <v/>
      </c>
      <c r="J116" s="10"/>
      <c r="K116" s="10"/>
      <c r="L116" s="20" t="s">
        <v>326</v>
      </c>
      <c r="M116" s="34">
        <v>0</v>
      </c>
      <c r="N116" s="34">
        <v>176</v>
      </c>
      <c r="O116" s="34">
        <v>353</v>
      </c>
      <c r="P116" s="34">
        <v>721</v>
      </c>
      <c r="Q116" s="34">
        <v>1501</v>
      </c>
      <c r="R116" s="34">
        <v>3501</v>
      </c>
      <c r="S116" s="34">
        <v>7001</v>
      </c>
      <c r="T116" s="34">
        <v>10501</v>
      </c>
      <c r="U116" s="34">
        <v>21001</v>
      </c>
      <c r="V116" s="34">
        <v>48001</v>
      </c>
      <c r="W116" s="34">
        <v>78001</v>
      </c>
      <c r="X116" s="34">
        <v>108001</v>
      </c>
      <c r="Y116" s="34">
        <f>138001+MAX(0,SUMIFS(INDEX(választott_kasztok,,10),INDEX(választott_kasztok,,1),$L116)-13)*38000</f>
        <v>138001</v>
      </c>
      <c r="Z116" s="20">
        <v>5</v>
      </c>
      <c r="AA116" s="20">
        <v>20</v>
      </c>
      <c r="AB116" s="20">
        <v>75</v>
      </c>
      <c r="AC116" s="20">
        <v>0</v>
      </c>
      <c r="AD116" s="10">
        <f>MAX(9,SUMIFS(INDEX(választott_kasztok,,10),INDEX(választott_kasztok,,1),$L116)*9)</f>
        <v>9</v>
      </c>
      <c r="AE116" s="10">
        <f t="shared" si="228"/>
        <v>3</v>
      </c>
      <c r="AF116" s="10">
        <f t="shared" si="228"/>
        <v>3</v>
      </c>
      <c r="AG116" s="20">
        <f>IF(AND(többes_kaszt=iker_kaszt,váltás_kezdet=0,váltás_kezdet&lt;&gt;""),0,5)</f>
        <v>5</v>
      </c>
      <c r="AH116" s="10">
        <f>MAX(0,IF(választott_kaszt_1=$L116,IF(váltás_kezdet="",VLOOKUP($L116,választott_kasztok,10,FALSE)*5,MIN(VLOOKUP($L116,választott_kasztok,10,FALSE),váltás_kezdet)*5+IF(többes_kaszt=iker_kaszt,MAX(0,VLOOKUP($L116,választott_kasztok,10,FALSE)-váltás_kezdet),0)+IF(többes_kaszt=váltott_kaszt,MAX(0,váltás_kezdet-VLOOKUP($L116,választott_kasztok,10,FALSE))*5)),0)+IF(választott_kaszt_2=$L116,VLOOKUP($L116,választott_kasztok,10,FALSE)*IF(többes_kaszt=iker_kaszt,1,5),0))</f>
        <v>0</v>
      </c>
      <c r="AI116" s="20">
        <v>0</v>
      </c>
      <c r="AJ116" s="20">
        <v>8</v>
      </c>
      <c r="AK116" s="20">
        <v>7</v>
      </c>
      <c r="AL116" s="10">
        <f>MAX(1,SUMIFS(INDEX(választott_kasztok,,10),INDEX(választott_kasztok,,1),$L116))*(k6dobás+5)</f>
        <v>11</v>
      </c>
      <c r="AM116" s="10">
        <f>MAX(9,MIN(1,SUMIFS(INDEX(választott_kasztok,,10),INDEX(választott_kasztok,,1),$L116))*9+MAX(0,SUMIFS(INDEX(választott_kasztok,,10),INDEX(választott_kasztok,,1),$L116)-1)*(6+ROUNDUP(k6dobás/2,0)))</f>
        <v>9</v>
      </c>
      <c r="AN116" s="20" t="s">
        <v>1183</v>
      </c>
      <c r="AO116" s="209"/>
      <c r="AP116" s="34">
        <v>0</v>
      </c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117">
        <f>138001+MAX(0,váltás_kezdet-13)*38000</f>
        <v>138001</v>
      </c>
      <c r="BB116" s="17">
        <f t="shared" si="199"/>
        <v>14</v>
      </c>
      <c r="BC116" s="17">
        <f t="shared" si="200"/>
        <v>11</v>
      </c>
      <c r="BD116" s="17">
        <f t="shared" si="201"/>
        <v>11</v>
      </c>
      <c r="BE116" s="17">
        <f t="shared" si="202"/>
        <v>14</v>
      </c>
      <c r="BF116" s="116">
        <f t="shared" si="203"/>
        <v>16</v>
      </c>
      <c r="BG116" s="17">
        <f t="shared" si="204"/>
        <v>14</v>
      </c>
      <c r="BH116" s="17">
        <f t="shared" si="205"/>
        <v>13</v>
      </c>
      <c r="BI116" s="17">
        <f t="shared" si="206"/>
        <v>14</v>
      </c>
      <c r="BJ116" s="17">
        <f t="shared" si="207"/>
        <v>16</v>
      </c>
      <c r="BK116" s="17">
        <f t="shared" si="208"/>
        <v>14</v>
      </c>
      <c r="BL116" s="17">
        <f t="shared" si="224"/>
        <v>0</v>
      </c>
      <c r="BM116" s="13">
        <f t="shared" si="223"/>
        <v>0</v>
      </c>
      <c r="BN116" s="12"/>
      <c r="BO116" s="12"/>
      <c r="BP116" s="12"/>
      <c r="BQ116" s="12"/>
      <c r="BR116" s="12"/>
      <c r="BS116" s="12"/>
      <c r="BT116" s="12" t="s">
        <v>262</v>
      </c>
      <c r="BU116" s="12"/>
      <c r="BV116" s="12" t="s">
        <v>262</v>
      </c>
      <c r="BW116" s="51"/>
      <c r="BX116" s="12" t="s">
        <v>132</v>
      </c>
      <c r="BY116" s="12" t="s">
        <v>129</v>
      </c>
      <c r="BZ116" s="12" t="s">
        <v>129</v>
      </c>
      <c r="CA116" s="12" t="s">
        <v>132</v>
      </c>
      <c r="CB116" s="12" t="s">
        <v>135</v>
      </c>
      <c r="CC116" s="12" t="s">
        <v>132</v>
      </c>
      <c r="CD116" s="12" t="s">
        <v>131</v>
      </c>
      <c r="CE116" s="12" t="s">
        <v>132</v>
      </c>
      <c r="CF116" s="12" t="s">
        <v>134</v>
      </c>
      <c r="CG116" s="12" t="s">
        <v>132</v>
      </c>
      <c r="CH116" s="10">
        <v>3</v>
      </c>
      <c r="CI116" s="10">
        <v>6</v>
      </c>
      <c r="CK116" s="63"/>
    </row>
    <row r="117" spans="1:89" s="148" customFormat="1">
      <c r="A117" s="218" t="s">
        <v>278</v>
      </c>
      <c r="B117" s="219" t="s">
        <v>1216</v>
      </c>
      <c r="C117" s="219" t="s">
        <v>1217</v>
      </c>
      <c r="D117" s="219" t="s">
        <v>1218</v>
      </c>
      <c r="E117" s="219" t="str">
        <f>"Könnyű futás, "&amp;TEXT(1*MAX(0,állóképesség-10),"0")&amp;" órányi"</f>
        <v>Könnyű futás, 0 órányi</v>
      </c>
      <c r="F117" s="219" t="s">
        <v>1212</v>
      </c>
      <c r="G117" s="219" t="s">
        <v>1219</v>
      </c>
      <c r="H117" s="219" t="s">
        <v>1221</v>
      </c>
      <c r="I117" s="220"/>
      <c r="J117" s="10"/>
      <c r="K117" s="10"/>
      <c r="L117" s="20" t="s">
        <v>327</v>
      </c>
      <c r="M117" s="34">
        <v>0</v>
      </c>
      <c r="N117" s="34">
        <v>161</v>
      </c>
      <c r="O117" s="34">
        <v>331</v>
      </c>
      <c r="P117" s="34">
        <v>661</v>
      </c>
      <c r="Q117" s="34">
        <v>1301</v>
      </c>
      <c r="R117" s="34">
        <v>2601</v>
      </c>
      <c r="S117" s="34">
        <v>5001</v>
      </c>
      <c r="T117" s="34">
        <v>9001</v>
      </c>
      <c r="U117" s="34">
        <v>23001</v>
      </c>
      <c r="V117" s="34">
        <v>50001</v>
      </c>
      <c r="W117" s="34">
        <v>90001</v>
      </c>
      <c r="X117" s="34">
        <v>130001</v>
      </c>
      <c r="Y117" s="34">
        <f>165001+MAX(0,SUMIFS(INDEX(választott_kasztok,,10),INDEX(választott_kasztok,,1),$L117)-13)*50000</f>
        <v>165001</v>
      </c>
      <c r="Z117" s="20">
        <v>5</v>
      </c>
      <c r="AA117" s="20">
        <v>17</v>
      </c>
      <c r="AB117" s="20">
        <v>72</v>
      </c>
      <c r="AC117" s="20">
        <v>0</v>
      </c>
      <c r="AD117" s="10">
        <f>MAX(8,SUMIFS(INDEX(választott_kasztok,,10),INDEX(választott_kasztok,,1),$L117)*8)</f>
        <v>8</v>
      </c>
      <c r="AE117" s="10">
        <f t="shared" si="228"/>
        <v>3</v>
      </c>
      <c r="AF117" s="10">
        <f t="shared" si="228"/>
        <v>3</v>
      </c>
      <c r="AG117" s="20">
        <f>IF(AND(többes_kaszt=iker_kaszt,váltás_kezdet=0,váltás_kezdet&lt;&gt;""),0,6)</f>
        <v>6</v>
      </c>
      <c r="AH117" s="10">
        <f>MAX(0,IF(választott_kaszt_1=$L117,IF(váltás_kezdet="",VLOOKUP($L117,választott_kasztok,10,FALSE)*10,MIN(VLOOKUP($L117,választott_kasztok,10,FALSE),váltás_kezdet)*10+IF(többes_kaszt=iker_kaszt,MAX(0,VLOOKUP($L117,választott_kasztok,10,FALSE)-váltás_kezdet),0)+IF(többes_kaszt=váltott_kaszt,MAX(0,váltás_kezdet-VLOOKUP($L117,választott_kasztok,10,FALSE))*10)),0)+IF(választott_kaszt_2=$L117,VLOOKUP($L117,választott_kasztok,10,FALSE)*IF(többes_kaszt=iker_kaszt,1,10),0))</f>
        <v>0</v>
      </c>
      <c r="AI117" s="20">
        <v>0</v>
      </c>
      <c r="AJ117" s="20">
        <v>6</v>
      </c>
      <c r="AK117" s="20">
        <v>6</v>
      </c>
      <c r="AL117" s="10">
        <f>MAX(1,SUMIFS(INDEX(választott_kasztok,,10),INDEX(választott_kasztok,,1),$L117))*(k6dobás+2)</f>
        <v>8</v>
      </c>
      <c r="AM117" s="10">
        <f>MAX(9,MIN(1,SUMIFS(INDEX(választott_kasztok,,10),INDEX(választott_kasztok,,1),$L117))*9+MAX(0,SUMIFS(INDEX(választott_kasztok,,10),INDEX(választott_kasztok,,1),$L117)-1)*(6+ROUNDUP(k6dobás/2,0)))</f>
        <v>9</v>
      </c>
      <c r="AN117" s="20" t="s">
        <v>1183</v>
      </c>
      <c r="AO117" s="209"/>
      <c r="AP117" s="34">
        <v>0</v>
      </c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117">
        <f>165001+MAX(0,váltás_kezdet-13)*50000</f>
        <v>165001</v>
      </c>
      <c r="BB117" s="17">
        <f t="shared" si="199"/>
        <v>13</v>
      </c>
      <c r="BC117" s="17">
        <f t="shared" si="200"/>
        <v>11</v>
      </c>
      <c r="BD117" s="17">
        <f t="shared" si="201"/>
        <v>11</v>
      </c>
      <c r="BE117" s="17">
        <f t="shared" si="202"/>
        <v>13</v>
      </c>
      <c r="BF117" s="17">
        <f t="shared" si="203"/>
        <v>14</v>
      </c>
      <c r="BG117" s="116">
        <f t="shared" si="204"/>
        <v>16</v>
      </c>
      <c r="BH117" s="17">
        <f t="shared" si="205"/>
        <v>14</v>
      </c>
      <c r="BI117" s="17">
        <f t="shared" si="206"/>
        <v>14</v>
      </c>
      <c r="BJ117" s="17">
        <f t="shared" si="207"/>
        <v>16</v>
      </c>
      <c r="BK117" s="17">
        <f t="shared" si="208"/>
        <v>14</v>
      </c>
      <c r="BL117" s="17">
        <f t="shared" si="224"/>
        <v>0</v>
      </c>
      <c r="BM117" s="13">
        <f t="shared" si="223"/>
        <v>0</v>
      </c>
      <c r="BN117" s="12"/>
      <c r="BO117" s="12"/>
      <c r="BP117" s="12"/>
      <c r="BQ117" s="12"/>
      <c r="BR117" s="12"/>
      <c r="BS117" s="12"/>
      <c r="BT117" s="12"/>
      <c r="BU117" s="12" t="s">
        <v>262</v>
      </c>
      <c r="BV117" s="12" t="s">
        <v>262</v>
      </c>
      <c r="BW117" s="51"/>
      <c r="BX117" s="12" t="s">
        <v>131</v>
      </c>
      <c r="BY117" s="12" t="s">
        <v>129</v>
      </c>
      <c r="BZ117" s="12" t="s">
        <v>129</v>
      </c>
      <c r="CA117" s="12" t="s">
        <v>131</v>
      </c>
      <c r="CB117" s="12" t="s">
        <v>132</v>
      </c>
      <c r="CC117" s="12" t="s">
        <v>135</v>
      </c>
      <c r="CD117" s="12" t="s">
        <v>132</v>
      </c>
      <c r="CE117" s="12" t="s">
        <v>132</v>
      </c>
      <c r="CF117" s="12" t="s">
        <v>134</v>
      </c>
      <c r="CG117" s="12" t="s">
        <v>132</v>
      </c>
      <c r="CH117" s="10">
        <v>3</v>
      </c>
      <c r="CI117" s="10">
        <v>6</v>
      </c>
      <c r="CK117" s="63"/>
    </row>
    <row r="118" spans="1:89" s="148" customFormat="1">
      <c r="A118" s="218" t="s">
        <v>249</v>
      </c>
      <c r="B118" s="219" t="s">
        <v>1247</v>
      </c>
      <c r="C118" s="219" t="s">
        <v>1223</v>
      </c>
      <c r="D118" s="219" t="s">
        <v>1224</v>
      </c>
      <c r="E118" s="219" t="s">
        <v>1228</v>
      </c>
      <c r="F118" s="219" t="s">
        <v>1225</v>
      </c>
      <c r="G118" s="219" t="s">
        <v>1226</v>
      </c>
      <c r="H118" s="219" t="s">
        <v>1227</v>
      </c>
      <c r="I118" s="220" t="s">
        <v>1229</v>
      </c>
      <c r="J118" s="10" t="s">
        <v>1220</v>
      </c>
      <c r="K118" s="10"/>
      <c r="L118" s="20" t="s">
        <v>328</v>
      </c>
      <c r="M118" s="34">
        <v>0</v>
      </c>
      <c r="N118" s="34">
        <v>176</v>
      </c>
      <c r="O118" s="34">
        <v>353</v>
      </c>
      <c r="P118" s="34">
        <v>721</v>
      </c>
      <c r="Q118" s="34">
        <v>1501</v>
      </c>
      <c r="R118" s="34">
        <v>3501</v>
      </c>
      <c r="S118" s="34">
        <v>7001</v>
      </c>
      <c r="T118" s="34">
        <v>10501</v>
      </c>
      <c r="U118" s="34">
        <v>21001</v>
      </c>
      <c r="V118" s="34">
        <v>48001</v>
      </c>
      <c r="W118" s="34">
        <v>78001</v>
      </c>
      <c r="X118" s="34">
        <v>108001</v>
      </c>
      <c r="Y118" s="34">
        <f>138001+MAX(0,SUMIFS(INDEX(választott_kasztok,,10),INDEX(választott_kasztok,,1),$L118)-13)*38000</f>
        <v>138001</v>
      </c>
      <c r="Z118" s="20">
        <v>5</v>
      </c>
      <c r="AA118" s="20">
        <v>20</v>
      </c>
      <c r="AB118" s="20">
        <v>75</v>
      </c>
      <c r="AC118" s="20">
        <v>0</v>
      </c>
      <c r="AD118" s="10">
        <f>MAX(9,SUMIFS(INDEX(választott_kasztok,,10),INDEX(választott_kasztok,,1),$L118)*9)</f>
        <v>9</v>
      </c>
      <c r="AE118" s="10">
        <f t="shared" si="228"/>
        <v>3</v>
      </c>
      <c r="AF118" s="10">
        <f t="shared" si="228"/>
        <v>3</v>
      </c>
      <c r="AG118" s="20">
        <f>IF(AND(többes_kaszt=iker_kaszt,váltás_kezdet=0,váltás_kezdet&lt;&gt;""),0,5)</f>
        <v>5</v>
      </c>
      <c r="AH118" s="10">
        <f>MAX(0,IF(választott_kaszt_1=$L118,IF(váltás_kezdet="",VLOOKUP($L118,választott_kasztok,10,FALSE)*5,MIN(VLOOKUP($L118,választott_kasztok,10,FALSE),váltás_kezdet)*5+IF(többes_kaszt=iker_kaszt,MAX(0,VLOOKUP($L118,választott_kasztok,10,FALSE)-váltás_kezdet),0)+IF(többes_kaszt=váltott_kaszt,MAX(0,váltás_kezdet-VLOOKUP($L118,választott_kasztok,10,FALSE))*5)),0)+IF(választott_kaszt_2=$L118,VLOOKUP($L118,választott_kasztok,10,FALSE)*IF(többes_kaszt=iker_kaszt,1,5),0))</f>
        <v>0</v>
      </c>
      <c r="AI118" s="20">
        <v>0</v>
      </c>
      <c r="AJ118" s="20">
        <v>8</v>
      </c>
      <c r="AK118" s="20">
        <v>7</v>
      </c>
      <c r="AL118" s="10">
        <f>MAX(1,SUMIFS(INDEX(választott_kasztok,,10),INDEX(választott_kasztok,,1),$L118))*(k6dobás+5)</f>
        <v>11</v>
      </c>
      <c r="AM118" s="10">
        <f>MAX(9,MIN(1,SUMIFS(INDEX(választott_kasztok,,10),INDEX(választott_kasztok,,1),$L118))*9+MAX(0,SUMIFS(INDEX(választott_kasztok,,10),INDEX(választott_kasztok,,1),$L118)-1)*(6+ROUNDUP(k6dobás/2,0)))</f>
        <v>9</v>
      </c>
      <c r="AN118" s="20" t="s">
        <v>1183</v>
      </c>
      <c r="AO118" s="209"/>
      <c r="AP118" s="34">
        <v>0</v>
      </c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117">
        <f>138001+MAX(0,váltás_kezdet-13)*38000</f>
        <v>138001</v>
      </c>
      <c r="BB118" s="17">
        <f t="shared" si="199"/>
        <v>14</v>
      </c>
      <c r="BC118" s="17">
        <f t="shared" si="200"/>
        <v>11</v>
      </c>
      <c r="BD118" s="17">
        <f t="shared" si="201"/>
        <v>11</v>
      </c>
      <c r="BE118" s="17">
        <f t="shared" si="202"/>
        <v>14</v>
      </c>
      <c r="BF118" s="116">
        <f t="shared" si="203"/>
        <v>16</v>
      </c>
      <c r="BG118" s="17">
        <f t="shared" si="204"/>
        <v>14</v>
      </c>
      <c r="BH118" s="17">
        <f t="shared" si="205"/>
        <v>13</v>
      </c>
      <c r="BI118" s="17">
        <f t="shared" si="206"/>
        <v>14</v>
      </c>
      <c r="BJ118" s="17">
        <f t="shared" si="207"/>
        <v>16</v>
      </c>
      <c r="BK118" s="17">
        <f t="shared" si="208"/>
        <v>14</v>
      </c>
      <c r="BL118" s="17">
        <f t="shared" si="224"/>
        <v>0</v>
      </c>
      <c r="BM118" s="13">
        <f t="shared" si="223"/>
        <v>0</v>
      </c>
      <c r="BN118" s="12" t="s">
        <v>262</v>
      </c>
      <c r="BO118" s="12"/>
      <c r="BP118" s="12"/>
      <c r="BQ118" s="12"/>
      <c r="BR118" s="12"/>
      <c r="BS118" s="12"/>
      <c r="BT118" s="12"/>
      <c r="BU118" s="12"/>
      <c r="BV118" s="12"/>
      <c r="BW118" s="51"/>
      <c r="BX118" s="12" t="s">
        <v>132</v>
      </c>
      <c r="BY118" s="12" t="s">
        <v>129</v>
      </c>
      <c r="BZ118" s="12" t="s">
        <v>129</v>
      </c>
      <c r="CA118" s="12" t="s">
        <v>132</v>
      </c>
      <c r="CB118" s="12" t="s">
        <v>135</v>
      </c>
      <c r="CC118" s="12" t="s">
        <v>132</v>
      </c>
      <c r="CD118" s="12" t="s">
        <v>131</v>
      </c>
      <c r="CE118" s="12" t="s">
        <v>132</v>
      </c>
      <c r="CF118" s="12" t="s">
        <v>134</v>
      </c>
      <c r="CG118" s="12" t="s">
        <v>132</v>
      </c>
      <c r="CH118" s="10">
        <v>3</v>
      </c>
      <c r="CI118" s="10">
        <v>6</v>
      </c>
      <c r="CK118" s="63"/>
    </row>
    <row r="119" spans="1:89" s="148" customFormat="1">
      <c r="A119" s="218" t="s">
        <v>985</v>
      </c>
      <c r="B119" s="219" t="s">
        <v>1243</v>
      </c>
      <c r="C119" s="219" t="s">
        <v>1244</v>
      </c>
      <c r="D119" s="219" t="s">
        <v>1245</v>
      </c>
      <c r="E119" s="219"/>
      <c r="F119" s="219"/>
      <c r="G119" s="219"/>
      <c r="H119" s="219"/>
      <c r="I119" s="220"/>
      <c r="J119" s="10"/>
      <c r="K119" s="10"/>
      <c r="L119" s="265" t="s">
        <v>1000</v>
      </c>
      <c r="M119" s="33">
        <v>0</v>
      </c>
      <c r="N119" s="33">
        <v>151</v>
      </c>
      <c r="O119" s="33">
        <v>311</v>
      </c>
      <c r="P119" s="33">
        <v>631</v>
      </c>
      <c r="Q119" s="33">
        <v>1301</v>
      </c>
      <c r="R119" s="33">
        <v>2701</v>
      </c>
      <c r="S119" s="33">
        <v>5401</v>
      </c>
      <c r="T119" s="33">
        <v>10801</v>
      </c>
      <c r="U119" s="33">
        <v>21601</v>
      </c>
      <c r="V119" s="33">
        <v>42001</v>
      </c>
      <c r="W119" s="33">
        <v>65001</v>
      </c>
      <c r="X119" s="33">
        <v>90001</v>
      </c>
      <c r="Y119" s="34">
        <f>120001+MAX(0,SUMIFS(INDEX(választott_kasztok,,10),INDEX(választott_kasztok,,1),$L119)-13)*32500</f>
        <v>120001</v>
      </c>
      <c r="Z119" s="10">
        <v>10</v>
      </c>
      <c r="AA119" s="10">
        <v>26</v>
      </c>
      <c r="AB119" s="10">
        <v>70</v>
      </c>
      <c r="AC119" s="10">
        <v>0</v>
      </c>
      <c r="AD119" s="37">
        <f>MAX((12-3),SUMIFS(INDEX(választott_kasztok,,10),INDEX(választott_kasztok,,1),$L119)*(12-3))</f>
        <v>9</v>
      </c>
      <c r="AE119" s="10">
        <f>MAX(5,SUMIFS(INDEX(választott_kasztok,,10),INDEX(választott_kasztok,,1),$L119)*5)</f>
        <v>5</v>
      </c>
      <c r="AF119" s="37">
        <f>MAX(0,SUMIFS(INDEX(választott_kasztok,,10),INDEX(választott_kasztok,,1),$L119)*0)</f>
        <v>0</v>
      </c>
      <c r="AG119" s="20">
        <f>IF(AND(többes_kaszt=iker_kaszt,váltás_kezdet=0,váltás_kezdet&lt;&gt;""),0,7)</f>
        <v>7</v>
      </c>
      <c r="AH119" s="10">
        <f>MAX(0,IF(választott_kaszt_1=$L119,IF(váltás_kezdet="",VLOOKUP($L119,választott_kasztok,10,FALSE)*10,MIN(VLOOKUP($L119,választott_kasztok,10,FALSE),váltás_kezdet)*10+IF(többes_kaszt=iker_kaszt,MAX(0,VLOOKUP($L119,választott_kasztok,10,FALSE)-váltás_kezdet),0)+IF(többes_kaszt=váltott_kaszt,MAX(0,váltás_kezdet-VLOOKUP($L119,választott_kasztok,10,FALSE))*10)),0)+IF(választott_kaszt_2=$L119,VLOOKUP($L119,választott_kasztok,10,FALSE)*IF(többes_kaszt=iker_kaszt,1,10),0))</f>
        <v>0</v>
      </c>
      <c r="AI119" s="10">
        <v>0</v>
      </c>
      <c r="AJ119" s="10">
        <v>8</v>
      </c>
      <c r="AK119" s="10">
        <v>7</v>
      </c>
      <c r="AL119" s="10">
        <f>MAX(1,SUMIFS(INDEX(választott_kasztok,,10),INDEX(választott_kasztok,,1),$L119))*(k6dobás+5)</f>
        <v>11</v>
      </c>
      <c r="AM119" s="10"/>
      <c r="AN119" s="20" t="s">
        <v>107</v>
      </c>
      <c r="AO119" s="208"/>
      <c r="AP119" s="33">
        <v>0</v>
      </c>
      <c r="AQ119" s="56"/>
      <c r="AR119" s="56">
        <v>40</v>
      </c>
      <c r="AS119" s="56">
        <v>25</v>
      </c>
      <c r="AT119" s="56"/>
      <c r="AU119" s="56"/>
      <c r="AV119" s="56"/>
      <c r="AW119" s="56"/>
      <c r="AX119" s="56"/>
      <c r="AY119" s="56"/>
      <c r="AZ119" s="56"/>
      <c r="BA119" s="117">
        <f>120001+MAX(0,váltás_kezdet-13)*32500</f>
        <v>120001</v>
      </c>
      <c r="BB119" s="116">
        <f t="shared" si="199"/>
        <v>18</v>
      </c>
      <c r="BC119" s="17">
        <f t="shared" si="200"/>
        <v>14</v>
      </c>
      <c r="BD119" s="17">
        <f t="shared" si="201"/>
        <v>13</v>
      </c>
      <c r="BE119" s="116">
        <f t="shared" si="202"/>
        <v>18</v>
      </c>
      <c r="BF119" s="116">
        <f t="shared" si="203"/>
        <v>16</v>
      </c>
      <c r="BG119" s="17">
        <f t="shared" si="204"/>
        <v>11</v>
      </c>
      <c r="BH119" s="17">
        <f t="shared" si="205"/>
        <v>10</v>
      </c>
      <c r="BI119" s="17">
        <f t="shared" si="206"/>
        <v>13</v>
      </c>
      <c r="BJ119" s="17">
        <f t="shared" si="207"/>
        <v>9</v>
      </c>
      <c r="BK119" s="17">
        <f t="shared" si="208"/>
        <v>14</v>
      </c>
      <c r="BL119" s="17">
        <f t="shared" ref="BL119" si="229">MAX(0,SUM(tulajdonságok)-SUM($BB119:$BK119))</f>
        <v>0</v>
      </c>
      <c r="BM119" s="13">
        <f t="shared" si="223"/>
        <v>0</v>
      </c>
      <c r="BN119" s="12" t="s">
        <v>262</v>
      </c>
      <c r="BO119" s="12"/>
      <c r="BP119" s="12"/>
      <c r="BQ119" s="12"/>
      <c r="BR119" s="12"/>
      <c r="BS119" s="12"/>
      <c r="BT119" s="12"/>
      <c r="BU119" s="12"/>
      <c r="BV119" s="12"/>
      <c r="BW119" s="51"/>
      <c r="BX119" s="12" t="s">
        <v>136</v>
      </c>
      <c r="BY119" s="12" t="s">
        <v>132</v>
      </c>
      <c r="BZ119" s="12" t="s">
        <v>131</v>
      </c>
      <c r="CA119" s="12" t="s">
        <v>136</v>
      </c>
      <c r="CB119" s="12" t="s">
        <v>135</v>
      </c>
      <c r="CC119" s="12" t="s">
        <v>129</v>
      </c>
      <c r="CD119" s="12" t="s">
        <v>128</v>
      </c>
      <c r="CE119" s="12" t="s">
        <v>131</v>
      </c>
      <c r="CF119" s="12" t="s">
        <v>127</v>
      </c>
      <c r="CG119" s="12" t="s">
        <v>132</v>
      </c>
      <c r="CH119" s="20">
        <v>1</v>
      </c>
      <c r="CI119" s="10">
        <v>18</v>
      </c>
      <c r="CK119" s="63"/>
    </row>
    <row r="120" spans="1:89" s="148" customFormat="1">
      <c r="A120" s="218" t="s">
        <v>280</v>
      </c>
      <c r="B120" s="219" t="s">
        <v>1230</v>
      </c>
      <c r="C120" s="219" t="s">
        <v>1231</v>
      </c>
      <c r="D120" s="219" t="s">
        <v>1232</v>
      </c>
      <c r="E120" s="219" t="s">
        <v>1233</v>
      </c>
      <c r="F120" s="219" t="s">
        <v>1234</v>
      </c>
      <c r="G120" s="219"/>
      <c r="H120" s="219"/>
      <c r="I120" s="220"/>
      <c r="J120" s="10"/>
      <c r="K120" s="10"/>
      <c r="L120" s="267" t="s">
        <v>1003</v>
      </c>
      <c r="M120" s="34">
        <v>0</v>
      </c>
      <c r="N120" s="34">
        <v>221</v>
      </c>
      <c r="O120" s="34">
        <v>443</v>
      </c>
      <c r="P120" s="34">
        <v>951</v>
      </c>
      <c r="Q120" s="33">
        <v>2001</v>
      </c>
      <c r="R120" s="33">
        <v>4501</v>
      </c>
      <c r="S120" s="33">
        <v>9001</v>
      </c>
      <c r="T120" s="33">
        <v>16001</v>
      </c>
      <c r="U120" s="33">
        <v>32001</v>
      </c>
      <c r="V120" s="33">
        <v>65001</v>
      </c>
      <c r="W120" s="33">
        <v>120001</v>
      </c>
      <c r="X120" s="33">
        <v>170001</v>
      </c>
      <c r="Y120" s="34">
        <f>240001+MAX(0,SUMIFS(INDEX(választott_kasztok,,10),INDEX(választott_kasztok,,1),$L120)-13)*65000</f>
        <v>240001</v>
      </c>
      <c r="Z120" s="20">
        <v>10</v>
      </c>
      <c r="AA120" s="20">
        <v>22</v>
      </c>
      <c r="AB120" s="20">
        <v>72</v>
      </c>
      <c r="AC120" s="20">
        <v>0</v>
      </c>
      <c r="AD120" s="10">
        <f>MAX(8,SUMIFS(INDEX(választott_kasztok,,10),INDEX(választott_kasztok,,1),$L120)*8)</f>
        <v>8</v>
      </c>
      <c r="AE120" s="10">
        <f t="shared" si="228"/>
        <v>3</v>
      </c>
      <c r="AF120" s="10">
        <f t="shared" si="228"/>
        <v>3</v>
      </c>
      <c r="AG120" s="20">
        <f>IF(AND(többes_kaszt=iker_kaszt,váltás_kezdet=0,váltás_kezdet&lt;&gt;""),0,4)</f>
        <v>4</v>
      </c>
      <c r="AH120" s="10">
        <f>MAX(0,IF(választott_kaszt_1=$L120,IF(váltás_kezdet="",VLOOKUP($L120,választott_kasztok,10,FALSE)*6,MIN(VLOOKUP($L120,választott_kasztok,10,FALSE),váltás_kezdet)*6+IF(többes_kaszt=iker_kaszt,MAX(0,VLOOKUP($L120,választott_kasztok,10,FALSE)-váltás_kezdet),0)+IF(többes_kaszt=váltott_kaszt,MAX(0,váltás_kezdet-VLOOKUP($L120,választott_kasztok,10,FALSE))*6)),0)+IF(választott_kaszt_2=$L120,VLOOKUP($L120,választott_kasztok,10,FALSE)*IF(többes_kaszt=iker_kaszt,1,6),0))</f>
        <v>0</v>
      </c>
      <c r="AI120" s="10">
        <f>MAX(35,IF(AND(többes_kaszt=váltott_kaszt,választott_kaszt_1=$L120),váltás_kezdet*35,SUMIFS(INDEX(választott_kasztok,,10),INDEX(választott_kasztok,,1),$L120)*35))</f>
        <v>35</v>
      </c>
      <c r="AJ120" s="20">
        <v>6</v>
      </c>
      <c r="AK120" s="20">
        <v>7</v>
      </c>
      <c r="AL120" s="10">
        <f>MAX(1,SUMIFS(INDEX(választott_kasztok,,10),INDEX(választott_kasztok,,1),$L120))*(k6dobás+6)</f>
        <v>12</v>
      </c>
      <c r="AM120" s="10"/>
      <c r="AN120" s="20" t="s">
        <v>1183</v>
      </c>
      <c r="AO120" s="209" t="s">
        <v>1185</v>
      </c>
      <c r="AP120" s="34">
        <v>0</v>
      </c>
      <c r="AQ120" s="57">
        <v>45</v>
      </c>
      <c r="AR120" s="57">
        <v>20</v>
      </c>
      <c r="AS120" s="57">
        <v>20</v>
      </c>
      <c r="AT120" s="57">
        <v>35</v>
      </c>
      <c r="AU120" s="57">
        <v>35</v>
      </c>
      <c r="AV120" s="57"/>
      <c r="AW120" s="57"/>
      <c r="AX120" s="57"/>
      <c r="AY120" s="57"/>
      <c r="AZ120" s="57"/>
      <c r="BA120" s="117">
        <f>240001+MAX(0,váltás_kezdet-13)*65000</f>
        <v>240001</v>
      </c>
      <c r="BB120" s="17">
        <f t="shared" ref="BB120" si="230">MAX(SUMIFS(INDEX(dobások,,2),INDEX(dobások,,1),BX120)+SUMIFS(INDEX(fajok,,3),INDEX(fajok,,1),választott_faj),IF(AND(többes_kaszt=iker_kaszt,váltás_kezdet=1,választott_kaszt_1=$L120),SUMIFS(INDEX(kasztok,,43),INDEX(kasztok,,1),választott_kaszt_2),0))</f>
        <v>13</v>
      </c>
      <c r="BC120" s="17">
        <f t="shared" ref="BC120" si="231">MAX(SUMIFS(INDEX(dobások,,2),INDEX(dobások,,1),BY120)+SUMIFS(INDEX(fajok,,4),INDEX(fajok,,1),választott_faj),IF(AND(többes_kaszt=iker_kaszt,váltás_kezdet=1,választott_kaszt_1=$L120),SUMIFS(INDEX(kasztok,,44),INDEX(kasztok,,1),választott_kaszt_2),0))</f>
        <v>16</v>
      </c>
      <c r="BD120" s="116">
        <f t="shared" ref="BD120" si="232">MAX(SUMIFS(INDEX(dobások,,2),INDEX(dobások,,1),BZ120)+SUMIFS(INDEX(fajok,,5),INDEX(fajok,,1),választott_faj),IF(AND(többes_kaszt=iker_kaszt,váltás_kezdet=1,választott_kaszt_1=$L120),SUMIFS(INDEX(kasztok,,45),INDEX(kasztok,,1),választott_kaszt_2),0))</f>
        <v>16</v>
      </c>
      <c r="BE120" s="17">
        <f t="shared" ref="BE120" si="233">MAX(SUMIFS(INDEX(dobások,,2),INDEX(dobások,,1),CA120)+SUMIFS(INDEX(fajok,,6),INDEX(fajok,,1),választott_faj),IF(AND(többes_kaszt=iker_kaszt,váltás_kezdet=1,választott_kaszt_1=$L120),SUMIFS(INDEX(kasztok,,46),INDEX(kasztok,,1),választott_kaszt_2),0))</f>
        <v>16</v>
      </c>
      <c r="BF120" s="31">
        <f t="shared" ref="BF120" si="234">MAX(SUMIFS(INDEX(dobások,,2),INDEX(dobások,,1),CB120)+SUMIFS(INDEX(fajok,,7),INDEX(fajok,,1),választott_faj),IF(AND(többes_kaszt=iker_kaszt,váltás_kezdet=1,választott_kaszt_1=$L120),SUMIFS(INDEX(kasztok,,47),INDEX(kasztok,,1),választott_kaszt_2),0))</f>
        <v>14</v>
      </c>
      <c r="BG120" s="17">
        <f t="shared" ref="BG120" si="235">MAX(SUMIFS(INDEX(dobások,,2),INDEX(dobások,,1),CC120)+SUMIFS(INDEX(fajok,,8),INDEX(fajok,,1),választott_faj),IF(AND(többes_kaszt=iker_kaszt,váltás_kezdet=1,választott_kaszt_1=$L120),SUMIFS(INDEX(kasztok,,48),INDEX(kasztok,,1),választott_kaszt_2),0))</f>
        <v>11</v>
      </c>
      <c r="BH120" s="17">
        <f t="shared" ref="BH120" si="236">MAX(SUMIFS(INDEX(dobások,,2),INDEX(dobások,,1),CD120)+SUMIFS(INDEX(fajok,,9),INDEX(fajok,,1),választott_faj),IF(AND(többes_kaszt=iker_kaszt,váltás_kezdet=1,választott_kaszt_1=$L120),SUMIFS(INDEX(kasztok,,49),INDEX(kasztok,,1),választott_kaszt_2),0))</f>
        <v>13</v>
      </c>
      <c r="BI120" s="17">
        <f t="shared" ref="BI120" si="237">MAX(SUMIFS(INDEX(dobások,,2),INDEX(dobások,,1),CE120),IF(AND(többes_kaszt=iker_kaszt,váltás_kezdet=1,választott_kaszt_1=$L120),SUMIFS(INDEX(kasztok,,50),INDEX(kasztok,,1),választott_kaszt_2),0))</f>
        <v>14</v>
      </c>
      <c r="BJ120" s="17">
        <f t="shared" ref="BJ120" si="238">MAX(SUMIFS(INDEX(dobások,,2),INDEX(dobások,,1),CF120)+SUMIFS(INDEX(fajok,,10),INDEX(fajok,,1),választott_faj),IF(AND(többes_kaszt=iker_kaszt,váltás_kezdet=1,választott_kaszt_1=$L120),SUMIFS(INDEX(kasztok,,51),INDEX(kasztok,,1),választott_kaszt_2),0))</f>
        <v>13</v>
      </c>
      <c r="BK120" s="17">
        <f t="shared" ref="BK120" si="239">MAX(SUMIFS(INDEX(dobások,,2),INDEX(dobások,,1),CG120),IF(AND(többes_kaszt=iker_kaszt,váltás_kezdet=1,választott_kaszt_1=$L120),SUMIFS(INDEX(kasztok,,52),INDEX(kasztok,,1),választott_kaszt_2),0))</f>
        <v>16</v>
      </c>
      <c r="BL120" s="17">
        <f t="shared" si="224"/>
        <v>0</v>
      </c>
      <c r="BM120" s="13">
        <f t="shared" ref="BM120" si="240">MAX(0,erő-(SUMIFS(INDEX(dobások,,4),INDEX(dobások,,1),BX120)+SUMIFS(INDEX(fajok,,3),INDEX(fajok,,1),választott_faj)))+MAX(0,gyorsaság-(SUMIFS(INDEX(dobások,,4),INDEX(dobások,,1),BY120)+SUMIFS(INDEX(fajok,,4),INDEX(fajok,,1),választott_faj)))+MAX(0,ügyesség-(SUMIFS(INDEX(dobások,,4),INDEX(dobások,,1),BZ120)+SUMIFS(INDEX(fajok,,5),INDEX(fajok,,1),választott_faj)))+MAX(0,állóképesség-(SUMIFS(INDEX(dobások,,4),INDEX(dobások,,1),CA120)+SUMIFS(INDEX(fajok,,6),INDEX(fajok,,1),választott_faj)))+MAX(0,egészség-(SUMIFS(INDEX(dobások,,4),INDEX(dobások,,1),CB120)+SUMIFS(INDEX(fajok,,7),INDEX(fajok,,1),választott_faj)))+MAX(0,szépség-(SUMIFS(INDEX(dobások,,4),INDEX(dobások,,1),CC120)+SUMIFS(INDEX(fajok,,8),INDEX(fajok,,1),választott_faj)))+MAX(0,intelligencia-(SUMIFS(INDEX(dobások,,4),INDEX(dobások,,1),CD120)+SUMIFS(INDEX(fajok,,9),INDEX(fajok,,1),választott_faj)))+MAX(0,akaraterő-SUMIFS(INDEX(dobások,,4),INDEX(dobások,,1),CE120))+MAX(0,asztrál-(SUMIFS(INDEX(dobások,,4),INDEX(dobások,,1),CF120)+SUMIFS(INDEX(fajok,,10),INDEX(fajok,,1),választott_faj)))+MAX(0,érzékelés-SUMIFS(INDEX(dobások,,4),INDEX(dobások,,1),CG120))</f>
        <v>0</v>
      </c>
      <c r="BN120" s="12"/>
      <c r="BO120" s="12" t="s">
        <v>262</v>
      </c>
      <c r="BP120" s="12"/>
      <c r="BQ120" s="12"/>
      <c r="BR120" s="12"/>
      <c r="BS120" s="12"/>
      <c r="BT120" s="12"/>
      <c r="BU120" s="12"/>
      <c r="BV120" s="12"/>
      <c r="BW120" s="51"/>
      <c r="BX120" s="12" t="s">
        <v>131</v>
      </c>
      <c r="BY120" s="12" t="s">
        <v>134</v>
      </c>
      <c r="BZ120" s="12" t="s">
        <v>135</v>
      </c>
      <c r="CA120" s="12" t="s">
        <v>134</v>
      </c>
      <c r="CB120" s="12" t="s">
        <v>132</v>
      </c>
      <c r="CC120" s="12" t="s">
        <v>129</v>
      </c>
      <c r="CD120" s="12" t="s">
        <v>131</v>
      </c>
      <c r="CE120" s="12" t="s">
        <v>132</v>
      </c>
      <c r="CF120" s="12" t="s">
        <v>131</v>
      </c>
      <c r="CG120" s="12" t="s">
        <v>134</v>
      </c>
      <c r="CH120" s="20">
        <v>1</v>
      </c>
      <c r="CI120" s="10">
        <v>3</v>
      </c>
      <c r="CK120" s="63"/>
    </row>
    <row r="121" spans="1:89" s="148" customFormat="1">
      <c r="A121" s="218" t="s">
        <v>279</v>
      </c>
      <c r="B121" s="219" t="s">
        <v>1235</v>
      </c>
      <c r="C121" s="219" t="s">
        <v>1223</v>
      </c>
      <c r="D121" s="219" t="s">
        <v>1232</v>
      </c>
      <c r="E121" s="219" t="s">
        <v>1233</v>
      </c>
      <c r="F121" s="219"/>
      <c r="G121" s="219"/>
      <c r="H121" s="219"/>
      <c r="I121" s="220"/>
      <c r="J121" s="10"/>
      <c r="K121" s="10"/>
      <c r="L121" s="261" t="s">
        <v>329</v>
      </c>
      <c r="M121" s="33">
        <v>0</v>
      </c>
      <c r="N121" s="33">
        <v>161</v>
      </c>
      <c r="O121" s="33">
        <v>321</v>
      </c>
      <c r="P121" s="33">
        <v>641</v>
      </c>
      <c r="Q121" s="33">
        <v>1441</v>
      </c>
      <c r="R121" s="34">
        <v>2801</v>
      </c>
      <c r="S121" s="33">
        <v>5601</v>
      </c>
      <c r="T121" s="33">
        <v>10001</v>
      </c>
      <c r="U121" s="33">
        <v>20001</v>
      </c>
      <c r="V121" s="33">
        <v>40001</v>
      </c>
      <c r="W121" s="33">
        <v>60001</v>
      </c>
      <c r="X121" s="33">
        <v>80001</v>
      </c>
      <c r="Y121" s="34">
        <f>112001+MAX(0,SUMIFS(INDEX(választott_kasztok,,10),INDEX(választott_kasztok,,1),$L121)-13)*31200</f>
        <v>112001</v>
      </c>
      <c r="Z121" s="10">
        <v>9</v>
      </c>
      <c r="AA121" s="10">
        <v>20</v>
      </c>
      <c r="AB121" s="10">
        <v>75</v>
      </c>
      <c r="AC121" s="10">
        <v>25</v>
      </c>
      <c r="AD121" s="10">
        <f>MAX(11,SUMIFS(INDEX(választott_kasztok,,10),INDEX(választott_kasztok,,1),$L121)*11)</f>
        <v>11</v>
      </c>
      <c r="AE121" s="10">
        <f t="shared" si="228"/>
        <v>3</v>
      </c>
      <c r="AF121" s="10">
        <f t="shared" si="228"/>
        <v>3</v>
      </c>
      <c r="AG121" s="20">
        <f>IF(AND(többes_kaszt=iker_kaszt,váltás_kezdet=0,váltás_kezdet&lt;&gt;""),0,5)</f>
        <v>5</v>
      </c>
      <c r="AH121" s="10">
        <f>MAX(0,IF(választott_kaszt_1=$L121,IF(váltás_kezdet="",VLOOKUP($L121,választott_kasztok,10,FALSE)*6,MIN(VLOOKUP($L121,választott_kasztok,10,FALSE),váltás_kezdet)*6+IF(többes_kaszt=iker_kaszt,MAX(0,VLOOKUP($L121,választott_kasztok,10,FALSE)-váltás_kezdet),0)+IF(többes_kaszt=váltott_kaszt,MAX(0,váltás_kezdet-VLOOKUP($L121,választott_kasztok,10,FALSE))*6)),0)+IF(választott_kaszt_2=$L121,VLOOKUP($L121,választott_kasztok,10,FALSE)*IF(többes_kaszt=iker_kaszt,1,6),0))</f>
        <v>0</v>
      </c>
      <c r="AI121" s="10">
        <f>MAX(20,IF(AND(többes_kaszt=váltott_kaszt,választott_kaszt_1=$L121),váltás_kezdet*20,SUMIFS(INDEX(választott_kasztok,,10),INDEX(választott_kasztok,,1),$L121)*20))</f>
        <v>20</v>
      </c>
      <c r="AJ121" s="10">
        <v>7</v>
      </c>
      <c r="AK121" s="10">
        <v>6</v>
      </c>
      <c r="AL121" s="10">
        <f>MAX(1,SUMIFS(INDEX(választott_kasztok,,10),INDEX(választott_kasztok,,1),$L121))*(k6dobás+4)</f>
        <v>10</v>
      </c>
      <c r="AM121" s="10"/>
      <c r="AN121" s="20" t="str">
        <f>IF(OR(tanultAfTSZ&gt;0,tanultMfTSZ&gt;0),pyarroni,nincsen)</f>
        <v>nincs</v>
      </c>
      <c r="AO121" s="208" t="str">
        <f>IF(tanultMfkaszt=0,"00",IF(INDEX(választott_kasztok,tanultMfkaszt,1)=$L121,TEXT(tanultMfTSZ,"00"),"00"))&amp;IF(tanultAfkaszt=0,"00",IF(INDEX(választott_kasztok,tanultAfkaszt,1)=$L121,TEXT(tanultAfTSZ,"00"),"00"))&amp;"01"</f>
        <v>000001</v>
      </c>
      <c r="AP121" s="33">
        <v>0</v>
      </c>
      <c r="AQ121" s="56">
        <v>35</v>
      </c>
      <c r="AR121" s="56">
        <v>25</v>
      </c>
      <c r="AS121" s="56">
        <v>20</v>
      </c>
      <c r="AT121" s="56">
        <v>50</v>
      </c>
      <c r="AU121" s="56">
        <v>50</v>
      </c>
      <c r="AV121" s="56"/>
      <c r="AW121" s="56"/>
      <c r="AX121" s="56"/>
      <c r="AY121" s="56"/>
      <c r="AZ121" s="56"/>
      <c r="BA121" s="117">
        <f>112001+MAX(0,váltás_kezdet-13)*31200</f>
        <v>112001</v>
      </c>
      <c r="BB121" s="17">
        <f t="shared" si="199"/>
        <v>16</v>
      </c>
      <c r="BC121" s="17">
        <f t="shared" si="200"/>
        <v>13</v>
      </c>
      <c r="BD121" s="17">
        <f t="shared" si="201"/>
        <v>13</v>
      </c>
      <c r="BE121" s="17">
        <f t="shared" si="202"/>
        <v>14</v>
      </c>
      <c r="BF121" s="116">
        <f t="shared" si="203"/>
        <v>16</v>
      </c>
      <c r="BG121" s="17">
        <f t="shared" si="204"/>
        <v>11</v>
      </c>
      <c r="BH121" s="17">
        <f t="shared" si="205"/>
        <v>11</v>
      </c>
      <c r="BI121" s="17">
        <f t="shared" si="206"/>
        <v>13</v>
      </c>
      <c r="BJ121" s="17">
        <f t="shared" si="207"/>
        <v>11</v>
      </c>
      <c r="BK121" s="17">
        <f t="shared" si="208"/>
        <v>13</v>
      </c>
      <c r="BL121" s="17">
        <f t="shared" si="224"/>
        <v>0</v>
      </c>
      <c r="BM121" s="13">
        <f t="shared" si="223"/>
        <v>0</v>
      </c>
      <c r="BN121" s="12" t="s">
        <v>262</v>
      </c>
      <c r="BO121" s="12" t="s">
        <v>262</v>
      </c>
      <c r="BP121" s="12" t="s">
        <v>262</v>
      </c>
      <c r="BQ121" s="12" t="s">
        <v>262</v>
      </c>
      <c r="BR121" s="12"/>
      <c r="BS121" s="12"/>
      <c r="BT121" s="12"/>
      <c r="BU121" s="12"/>
      <c r="BV121" s="12"/>
      <c r="BW121" s="51"/>
      <c r="BX121" s="12" t="s">
        <v>134</v>
      </c>
      <c r="BY121" s="12" t="s">
        <v>131</v>
      </c>
      <c r="BZ121" s="12" t="s">
        <v>131</v>
      </c>
      <c r="CA121" s="12" t="s">
        <v>132</v>
      </c>
      <c r="CB121" s="12" t="s">
        <v>135</v>
      </c>
      <c r="CC121" s="12" t="s">
        <v>129</v>
      </c>
      <c r="CD121" s="12" t="s">
        <v>129</v>
      </c>
      <c r="CE121" s="12" t="s">
        <v>131</v>
      </c>
      <c r="CF121" s="12" t="s">
        <v>129</v>
      </c>
      <c r="CG121" s="12" t="s">
        <v>131</v>
      </c>
      <c r="CH121" s="20">
        <v>5</v>
      </c>
      <c r="CI121" s="10">
        <v>18</v>
      </c>
      <c r="CK121" s="63"/>
    </row>
    <row r="122" spans="1:89" s="148" customFormat="1" ht="15.75" thickBot="1">
      <c r="A122" s="221" t="s">
        <v>281</v>
      </c>
      <c r="B122" s="222" t="s">
        <v>1236</v>
      </c>
      <c r="C122" s="222" t="s">
        <v>1237</v>
      </c>
      <c r="D122" s="222" t="s">
        <v>1238</v>
      </c>
      <c r="E122" s="222" t="s">
        <v>1239</v>
      </c>
      <c r="F122" s="222" t="s">
        <v>1242</v>
      </c>
      <c r="G122" s="222" t="s">
        <v>1246</v>
      </c>
      <c r="H122" s="222" t="s">
        <v>1240</v>
      </c>
      <c r="I122" s="223" t="s">
        <v>1241</v>
      </c>
      <c r="J122" s="10" t="s">
        <v>1220</v>
      </c>
      <c r="K122" s="10"/>
      <c r="L122" s="20" t="s">
        <v>361</v>
      </c>
      <c r="M122" s="34">
        <v>0</v>
      </c>
      <c r="N122" s="34">
        <v>161</v>
      </c>
      <c r="O122" s="34">
        <v>331</v>
      </c>
      <c r="P122" s="34">
        <v>661</v>
      </c>
      <c r="Q122" s="34">
        <v>1301</v>
      </c>
      <c r="R122" s="34">
        <v>2601</v>
      </c>
      <c r="S122" s="34">
        <v>5001</v>
      </c>
      <c r="T122" s="34">
        <v>9001</v>
      </c>
      <c r="U122" s="34">
        <v>23001</v>
      </c>
      <c r="V122" s="34">
        <v>50001</v>
      </c>
      <c r="W122" s="34">
        <v>90001</v>
      </c>
      <c r="X122" s="34">
        <v>130001</v>
      </c>
      <c r="Y122" s="34">
        <f>165001+MAX(0,SUMIFS(INDEX(választott_kasztok,,10),INDEX(választott_kasztok,,1),$L122)-13)*50000</f>
        <v>165001</v>
      </c>
      <c r="Z122" s="20">
        <v>5</v>
      </c>
      <c r="AA122" s="20">
        <v>17</v>
      </c>
      <c r="AB122" s="20">
        <v>72</v>
      </c>
      <c r="AC122" s="20">
        <v>0</v>
      </c>
      <c r="AD122" s="10">
        <f>MAX(8,SUMIFS(INDEX(választott_kasztok,,10),INDEX(választott_kasztok,,1),$L122)*8)</f>
        <v>8</v>
      </c>
      <c r="AE122" s="10">
        <f t="shared" si="228"/>
        <v>3</v>
      </c>
      <c r="AF122" s="10">
        <f t="shared" si="228"/>
        <v>3</v>
      </c>
      <c r="AG122" s="20">
        <f>IF(AND(többes_kaszt=iker_kaszt,váltás_kezdet=0,váltás_kezdet&lt;&gt;""),0,6)</f>
        <v>6</v>
      </c>
      <c r="AH122" s="10">
        <f>MAX(0,IF(választott_kaszt_1=$L122,IF(váltás_kezdet="",VLOOKUP($L122,választott_kasztok,10,FALSE)*10,MIN(VLOOKUP($L122,választott_kasztok,10,FALSE),váltás_kezdet)*10+IF(többes_kaszt=iker_kaszt,MAX(0,VLOOKUP($L122,választott_kasztok,10,FALSE)-váltás_kezdet),0)+IF(többes_kaszt=váltott_kaszt,MAX(0,váltás_kezdet-VLOOKUP($L122,választott_kasztok,10,FALSE))*10)),0)+IF(választott_kaszt_2=$L122,VLOOKUP($L122,választott_kasztok,10,FALSE)*IF(többes_kaszt=iker_kaszt,1,10),0))</f>
        <v>0</v>
      </c>
      <c r="AI122" s="20">
        <v>0</v>
      </c>
      <c r="AJ122" s="20">
        <v>6</v>
      </c>
      <c r="AK122" s="20">
        <v>6</v>
      </c>
      <c r="AL122" s="10">
        <f>MAX(1,SUMIFS(INDEX(választott_kasztok,,10),INDEX(választott_kasztok,,1),$L122))*(k6dobás+2)</f>
        <v>8</v>
      </c>
      <c r="AM122" s="10">
        <f>MAX(9,MIN(1,SUMIFS(INDEX(választott_kasztok,,10),INDEX(választott_kasztok,,1),$L122))*9+MAX(0,SUMIFS(INDEX(választott_kasztok,,10),INDEX(választott_kasztok,,1),$L122)-1)*(6+ROUNDUP(k6dobás/2,0)))</f>
        <v>9</v>
      </c>
      <c r="AN122" s="20" t="s">
        <v>1183</v>
      </c>
      <c r="AO122" s="209"/>
      <c r="AP122" s="34">
        <v>0</v>
      </c>
      <c r="AQ122" s="57"/>
      <c r="AR122" s="57"/>
      <c r="AS122" s="57"/>
      <c r="AT122" s="56">
        <f>IF(SUMIFS(INDEX(választott_kasztok,,10),INDEX(választott_kasztok,,1),$L122)&gt;=4,15,0)</f>
        <v>0</v>
      </c>
      <c r="AU122" s="57">
        <v>15</v>
      </c>
      <c r="AV122" s="57"/>
      <c r="AW122" s="57"/>
      <c r="AX122" s="57"/>
      <c r="AY122" s="57"/>
      <c r="AZ122" s="57"/>
      <c r="BA122" s="117">
        <f>165001+MAX(0,váltás_kezdet-13)*50000</f>
        <v>165001</v>
      </c>
      <c r="BB122" s="17">
        <f t="shared" si="199"/>
        <v>13</v>
      </c>
      <c r="BC122" s="17">
        <f t="shared" si="200"/>
        <v>11</v>
      </c>
      <c r="BD122" s="17">
        <f t="shared" si="201"/>
        <v>11</v>
      </c>
      <c r="BE122" s="17">
        <f t="shared" si="202"/>
        <v>13</v>
      </c>
      <c r="BF122" s="17">
        <f t="shared" si="203"/>
        <v>14</v>
      </c>
      <c r="BG122" s="116">
        <f t="shared" si="204"/>
        <v>16</v>
      </c>
      <c r="BH122" s="17">
        <f t="shared" si="205"/>
        <v>14</v>
      </c>
      <c r="BI122" s="17">
        <f t="shared" si="206"/>
        <v>14</v>
      </c>
      <c r="BJ122" s="17">
        <f t="shared" si="207"/>
        <v>16</v>
      </c>
      <c r="BK122" s="17">
        <f t="shared" si="208"/>
        <v>14</v>
      </c>
      <c r="BL122" s="17">
        <f t="shared" si="224"/>
        <v>0</v>
      </c>
      <c r="BM122" s="13">
        <f t="shared" si="223"/>
        <v>0</v>
      </c>
      <c r="BN122" s="12"/>
      <c r="BO122" s="12"/>
      <c r="BP122" s="12"/>
      <c r="BQ122" s="12"/>
      <c r="BR122" s="12"/>
      <c r="BS122" s="12"/>
      <c r="BT122" s="12"/>
      <c r="BU122" s="12" t="s">
        <v>262</v>
      </c>
      <c r="BV122" s="12" t="s">
        <v>262</v>
      </c>
      <c r="BW122" s="51"/>
      <c r="BX122" s="12" t="s">
        <v>131</v>
      </c>
      <c r="BY122" s="12" t="s">
        <v>129</v>
      </c>
      <c r="BZ122" s="12" t="s">
        <v>129</v>
      </c>
      <c r="CA122" s="12" t="s">
        <v>131</v>
      </c>
      <c r="CB122" s="12" t="s">
        <v>132</v>
      </c>
      <c r="CC122" s="12" t="s">
        <v>135</v>
      </c>
      <c r="CD122" s="12" t="s">
        <v>132</v>
      </c>
      <c r="CE122" s="12" t="s">
        <v>132</v>
      </c>
      <c r="CF122" s="12" t="s">
        <v>134</v>
      </c>
      <c r="CG122" s="12" t="s">
        <v>132</v>
      </c>
      <c r="CH122" s="10">
        <v>3</v>
      </c>
      <c r="CI122" s="10">
        <v>6</v>
      </c>
      <c r="CK122" s="63"/>
    </row>
    <row r="123" spans="1:89" s="148" customForma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20" t="s">
        <v>1267</v>
      </c>
      <c r="M123" s="34">
        <v>0</v>
      </c>
      <c r="N123" s="34">
        <v>161</v>
      </c>
      <c r="O123" s="34">
        <v>331</v>
      </c>
      <c r="P123" s="34">
        <v>661</v>
      </c>
      <c r="Q123" s="34">
        <v>1301</v>
      </c>
      <c r="R123" s="34">
        <v>2601</v>
      </c>
      <c r="S123" s="34">
        <v>5001</v>
      </c>
      <c r="T123" s="34">
        <v>9001</v>
      </c>
      <c r="U123" s="34">
        <v>23001</v>
      </c>
      <c r="V123" s="34">
        <v>50001</v>
      </c>
      <c r="W123" s="34">
        <v>90001</v>
      </c>
      <c r="X123" s="34">
        <v>130001</v>
      </c>
      <c r="Y123" s="34">
        <f>165001+MAX(0,SUMIFS(INDEX(választott_kasztok,,10),INDEX(választott_kasztok,,1),$L123)-13)*50000</f>
        <v>165001</v>
      </c>
      <c r="Z123" s="20">
        <v>5</v>
      </c>
      <c r="AA123" s="20">
        <v>17</v>
      </c>
      <c r="AB123" s="20">
        <v>72</v>
      </c>
      <c r="AC123" s="20">
        <v>0</v>
      </c>
      <c r="AD123" s="10">
        <f>MAX(9,SUMIFS(INDEX(választott_kasztok,,10),INDEX(választott_kasztok,,1),$L123)*9)</f>
        <v>9</v>
      </c>
      <c r="AE123" s="10">
        <f t="shared" si="228"/>
        <v>3</v>
      </c>
      <c r="AF123" s="10">
        <f t="shared" si="228"/>
        <v>3</v>
      </c>
      <c r="AG123" s="20">
        <f>IF(AND(többes_kaszt=iker_kaszt,váltás_kezdet=0,váltás_kezdet&lt;&gt;""),0,6)</f>
        <v>6</v>
      </c>
      <c r="AH123" s="10">
        <f>MAX(0,IF(választott_kaszt_1=$L123,IF(váltás_kezdet="",VLOOKUP($L123,választott_kasztok,10,FALSE)*10,MIN(VLOOKUP($L123,választott_kasztok,10,FALSE),váltás_kezdet)*10+IF(többes_kaszt=iker_kaszt,MAX(0,VLOOKUP($L123,választott_kasztok,10,FALSE)-váltás_kezdet),0)+IF(többes_kaszt=váltott_kaszt,MAX(0,váltás_kezdet-VLOOKUP($L123,választott_kasztok,10,FALSE))*10)),0)+IF(választott_kaszt_2=$L123,VLOOKUP($L123,választott_kasztok,10,FALSE)*IF(többes_kaszt=iker_kaszt,1,10),0))</f>
        <v>0</v>
      </c>
      <c r="AI123" s="20">
        <v>0</v>
      </c>
      <c r="AJ123" s="20">
        <v>6</v>
      </c>
      <c r="AK123" s="20">
        <v>6</v>
      </c>
      <c r="AL123" s="10">
        <f>MAX(1,SUMIFS(INDEX(választott_kasztok,,10),INDEX(választott_kasztok,,1),$L123))*(k6dobás+2)</f>
        <v>8</v>
      </c>
      <c r="AM123" s="10">
        <f>MAX(9,MIN(1,SUMIFS(INDEX(választott_kasztok,,10),INDEX(választott_kasztok,,1),$L123))*9+MAX(0,SUMIFS(INDEX(választott_kasztok,,10),INDEX(választott_kasztok,,1),$L123)-1)*(6+ROUNDUP(k6dobás/2,0)))</f>
        <v>9</v>
      </c>
      <c r="AN123" s="20" t="s">
        <v>1183</v>
      </c>
      <c r="AO123" s="209"/>
      <c r="AP123" s="34">
        <v>0</v>
      </c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117">
        <f>165001+MAX(0,váltás_kezdet-13)*50000</f>
        <v>165001</v>
      </c>
      <c r="BB123" s="17">
        <f t="shared" si="199"/>
        <v>13</v>
      </c>
      <c r="BC123" s="17">
        <f t="shared" si="200"/>
        <v>11</v>
      </c>
      <c r="BD123" s="17">
        <f t="shared" si="201"/>
        <v>11</v>
      </c>
      <c r="BE123" s="17">
        <f t="shared" si="202"/>
        <v>13</v>
      </c>
      <c r="BF123" s="17">
        <f t="shared" si="203"/>
        <v>14</v>
      </c>
      <c r="BG123" s="116">
        <f t="shared" si="204"/>
        <v>16</v>
      </c>
      <c r="BH123" s="17">
        <f t="shared" si="205"/>
        <v>14</v>
      </c>
      <c r="BI123" s="17">
        <f t="shared" si="206"/>
        <v>14</v>
      </c>
      <c r="BJ123" s="17">
        <f t="shared" si="207"/>
        <v>16</v>
      </c>
      <c r="BK123" s="17">
        <f t="shared" si="208"/>
        <v>14</v>
      </c>
      <c r="BL123" s="17">
        <f t="shared" si="224"/>
        <v>0</v>
      </c>
      <c r="BM123" s="13">
        <f t="shared" si="223"/>
        <v>0</v>
      </c>
      <c r="BN123" s="12"/>
      <c r="BO123" s="12"/>
      <c r="BP123" s="12"/>
      <c r="BQ123" s="12"/>
      <c r="BR123" s="12"/>
      <c r="BS123" s="12"/>
      <c r="BT123" s="12"/>
      <c r="BU123" s="12" t="s">
        <v>262</v>
      </c>
      <c r="BV123" s="12" t="s">
        <v>262</v>
      </c>
      <c r="BW123" s="51"/>
      <c r="BX123" s="12" t="s">
        <v>131</v>
      </c>
      <c r="BY123" s="12" t="s">
        <v>129</v>
      </c>
      <c r="BZ123" s="12" t="s">
        <v>129</v>
      </c>
      <c r="CA123" s="12" t="s">
        <v>131</v>
      </c>
      <c r="CB123" s="12" t="s">
        <v>132</v>
      </c>
      <c r="CC123" s="12" t="s">
        <v>135</v>
      </c>
      <c r="CD123" s="12" t="s">
        <v>132</v>
      </c>
      <c r="CE123" s="12" t="s">
        <v>132</v>
      </c>
      <c r="CF123" s="12" t="s">
        <v>134</v>
      </c>
      <c r="CG123" s="12" t="s">
        <v>132</v>
      </c>
      <c r="CH123" s="10">
        <v>3</v>
      </c>
      <c r="CI123" s="10">
        <v>6</v>
      </c>
      <c r="CK123" s="63"/>
    </row>
    <row r="124" spans="1:89" s="148" customForma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 t="s">
        <v>1009</v>
      </c>
      <c r="M124" s="33">
        <v>0</v>
      </c>
      <c r="N124" s="33">
        <v>171</v>
      </c>
      <c r="O124" s="33">
        <v>351</v>
      </c>
      <c r="P124" s="33">
        <v>1001</v>
      </c>
      <c r="Q124" s="33">
        <v>2201</v>
      </c>
      <c r="R124" s="33">
        <v>4401</v>
      </c>
      <c r="S124" s="33">
        <v>7501</v>
      </c>
      <c r="T124" s="33">
        <v>15001</v>
      </c>
      <c r="U124" s="33">
        <v>30001</v>
      </c>
      <c r="V124" s="33">
        <v>55001</v>
      </c>
      <c r="W124" s="33">
        <v>75001</v>
      </c>
      <c r="X124" s="33">
        <v>95001</v>
      </c>
      <c r="Y124" s="34">
        <f>145001+MAX(0,SUMIFS(INDEX(választott_kasztok,,10),INDEX(választott_kasztok,,1),$L124)-13)*40000</f>
        <v>145001</v>
      </c>
      <c r="Z124" s="10">
        <v>10</v>
      </c>
      <c r="AA124" s="10">
        <v>20</v>
      </c>
      <c r="AB124" s="10">
        <v>75</v>
      </c>
      <c r="AC124" s="10">
        <v>10</v>
      </c>
      <c r="AD124" s="10">
        <f>MAX(9,SUMIFS(INDEX(választott_kasztok,,10),INDEX(választott_kasztok,,1),$L124)*9)</f>
        <v>9</v>
      </c>
      <c r="AE124" s="10">
        <f>MAX(2,SUMIFS(INDEX(választott_kasztok,,10),INDEX(választott_kasztok,,1),$L124)*2)</f>
        <v>2</v>
      </c>
      <c r="AF124" s="10">
        <f>MAX(2,SUMIFS(INDEX(választott_kasztok,,10),INDEX(választott_kasztok,,1),$L124)*2)</f>
        <v>2</v>
      </c>
      <c r="AG124" s="20">
        <f>IF(AND(többes_kaszt=iker_kaszt,váltás_kezdet=0,váltás_kezdet&lt;&gt;""),0,4)</f>
        <v>4</v>
      </c>
      <c r="AH124" s="10">
        <f>MAX(0,IF(választott_kaszt_1=$L124,IF(váltás_kezdet="",VLOOKUP($L124,választott_kasztok,10,FALSE)*6,MIN(VLOOKUP($L124,választott_kasztok,10,FALSE),váltás_kezdet)*6+IF(többes_kaszt=iker_kaszt,MAX(0,VLOOKUP($L124,választott_kasztok,10,FALSE)-váltás_kezdet),0)+IF(többes_kaszt=váltott_kaszt,MAX(0,váltás_kezdet-VLOOKUP($L124,választott_kasztok,10,FALSE))*6)),0)+IF(választott_kaszt_2=$L124,VLOOKUP($L124,választott_kasztok,10,FALSE)*IF(többes_kaszt=iker_kaszt,1,6),0))</f>
        <v>0</v>
      </c>
      <c r="AI124" s="10">
        <f>MAX(45,IF(AND(többes_kaszt=váltott_kaszt,választott_kaszt_1=$L124),váltás_kezdet*45,SUMIFS(INDEX(választott_kasztok,,10),INDEX(választott_kasztok,,1),$L124)*45))</f>
        <v>45</v>
      </c>
      <c r="AJ124" s="10">
        <v>5</v>
      </c>
      <c r="AK124" s="10">
        <v>6</v>
      </c>
      <c r="AL124" s="10">
        <f>MAX(1,SUMIFS(INDEX(választott_kasztok,,10),INDEX(választott_kasztok,,1),$L124))*(k6dobás+3)</f>
        <v>9</v>
      </c>
      <c r="AM124" s="10">
        <f>MAX(MAX(0,intelligencia-10-2),SUMIFS(INDEX(választott_kasztok,,10),INDEX(választott_kasztok,,1),$L124)*MAX(0,intelligencia-10-2))</f>
        <v>0</v>
      </c>
      <c r="AN124" s="20" t="s">
        <v>1183</v>
      </c>
      <c r="AO124" s="209" t="str">
        <f>TEXT(IF(tanultMfkaszt=0,IF(SUMIFS(INDEX(választott_kasztok,,10),INDEX(választott_kasztok,,1),$L124)&lt;4,0,4),IF(INDEX(választott_kasztok,tanultMfkaszt,1)=$L124,IF(OR(tanultMfTSZ=0,tanultMfTSZ&gt;MIN(4,SUMIFS(INDEX(választott_kasztok,,10),INDEX(választott_kasztok,,1),$L124))),IF(SUMIFS(INDEX(választott_kasztok,,10),INDEX(választott_kasztok,,1),$L124)&lt;4,0,4),MIN(4,tanultMfTSZ)),0)),"00")&amp;"0101"</f>
        <v>000101</v>
      </c>
      <c r="AP124" s="33">
        <v>0</v>
      </c>
      <c r="AQ124" s="56">
        <v>25</v>
      </c>
      <c r="AR124" s="56"/>
      <c r="AS124" s="56"/>
      <c r="AT124" s="56">
        <v>5</v>
      </c>
      <c r="AU124" s="56">
        <v>5</v>
      </c>
      <c r="AV124" s="56"/>
      <c r="AW124" s="56"/>
      <c r="AX124" s="56">
        <f>IF(SUMIFS(INDEX(választott_kasztok,,10),INDEX(választott_kasztok,,1),$L124)&gt;=5,15,0)</f>
        <v>0</v>
      </c>
      <c r="AY124" s="56"/>
      <c r="AZ124" s="56">
        <v>5</v>
      </c>
      <c r="BA124" s="117">
        <f>145001+MAX(0,váltás_kezdet-13)*40000</f>
        <v>145001</v>
      </c>
      <c r="BB124" s="17">
        <f t="shared" si="199"/>
        <v>14</v>
      </c>
      <c r="BC124" s="17">
        <f t="shared" si="200"/>
        <v>14</v>
      </c>
      <c r="BD124" s="17">
        <f t="shared" si="201"/>
        <v>14</v>
      </c>
      <c r="BE124" s="17">
        <f t="shared" si="202"/>
        <v>13</v>
      </c>
      <c r="BF124" s="17">
        <f t="shared" si="203"/>
        <v>13</v>
      </c>
      <c r="BG124" s="17">
        <f t="shared" si="204"/>
        <v>16</v>
      </c>
      <c r="BH124" s="17">
        <f t="shared" si="205"/>
        <v>15</v>
      </c>
      <c r="BI124" s="17">
        <f t="shared" si="206"/>
        <v>13</v>
      </c>
      <c r="BJ124" s="17">
        <f t="shared" si="207"/>
        <v>14</v>
      </c>
      <c r="BK124" s="17">
        <f t="shared" si="208"/>
        <v>14</v>
      </c>
      <c r="BL124" s="17">
        <f t="shared" ref="BL124" si="241">MAX(0,SUM(tulajdonságok)-SUM($BB124:$BK124))</f>
        <v>0</v>
      </c>
      <c r="BM124" s="13">
        <f t="shared" si="223"/>
        <v>0</v>
      </c>
      <c r="BN124" s="12"/>
      <c r="BO124" s="12" t="s">
        <v>262</v>
      </c>
      <c r="BP124" s="12"/>
      <c r="BQ124" s="12"/>
      <c r="BR124" s="12"/>
      <c r="BS124" s="12" t="s">
        <v>262</v>
      </c>
      <c r="BT124" s="12"/>
      <c r="BU124" s="12"/>
      <c r="BV124" s="12"/>
      <c r="BW124" s="51"/>
      <c r="BX124" s="12" t="s">
        <v>132</v>
      </c>
      <c r="BY124" s="12" t="s">
        <v>132</v>
      </c>
      <c r="BZ124" s="12" t="s">
        <v>132</v>
      </c>
      <c r="CA124" s="12" t="s">
        <v>131</v>
      </c>
      <c r="CB124" s="12" t="s">
        <v>131</v>
      </c>
      <c r="CC124" s="12" t="s">
        <v>134</v>
      </c>
      <c r="CD124" s="12" t="s">
        <v>133</v>
      </c>
      <c r="CE124" s="12" t="s">
        <v>131</v>
      </c>
      <c r="CF124" s="12" t="s">
        <v>132</v>
      </c>
      <c r="CG124" s="12" t="s">
        <v>132</v>
      </c>
      <c r="CH124" s="20">
        <v>5</v>
      </c>
      <c r="CI124" s="10">
        <v>10</v>
      </c>
      <c r="CK124" s="63"/>
    </row>
    <row r="125" spans="1:89" s="148" customForma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 t="s">
        <v>330</v>
      </c>
      <c r="M125" s="33">
        <v>0</v>
      </c>
      <c r="N125" s="33">
        <v>171</v>
      </c>
      <c r="O125" s="33">
        <v>351</v>
      </c>
      <c r="P125" s="33">
        <v>701</v>
      </c>
      <c r="Q125" s="33">
        <v>1501</v>
      </c>
      <c r="R125" s="33">
        <v>3001</v>
      </c>
      <c r="S125" s="33">
        <v>7001</v>
      </c>
      <c r="T125" s="33">
        <v>12001</v>
      </c>
      <c r="U125" s="33">
        <v>22001</v>
      </c>
      <c r="V125" s="33">
        <v>52501</v>
      </c>
      <c r="W125" s="33">
        <v>85501</v>
      </c>
      <c r="X125" s="33">
        <v>135001</v>
      </c>
      <c r="Y125" s="34">
        <f>175501+MAX(0,SUMIFS(INDEX(választott_kasztok,,10),INDEX(választott_kasztok,,1),$L125)-13)*58500</f>
        <v>175501</v>
      </c>
      <c r="Z125" s="20">
        <v>6</v>
      </c>
      <c r="AA125" s="20">
        <v>17</v>
      </c>
      <c r="AB125" s="20">
        <v>72</v>
      </c>
      <c r="AC125" s="20">
        <v>0</v>
      </c>
      <c r="AD125" s="10">
        <f>MAX(8,SUMIFS(INDEX(választott_kasztok,,10),INDEX(választott_kasztok,,1),$L125)*8)</f>
        <v>8</v>
      </c>
      <c r="AE125" s="10">
        <f t="shared" si="228"/>
        <v>3</v>
      </c>
      <c r="AF125" s="10">
        <f t="shared" si="228"/>
        <v>3</v>
      </c>
      <c r="AG125" s="20">
        <f>IF(AND(többes_kaszt=iker_kaszt,váltás_kezdet=0,váltás_kezdet&lt;&gt;""),0,3)</f>
        <v>3</v>
      </c>
      <c r="AH125" s="10">
        <f>MAX(0,IF(választott_kaszt_1=$L125,IF(váltás_kezdet="",VLOOKUP($L125,választott_kasztok,10,FALSE)*5,MIN(VLOOKUP($L125,választott_kasztok,10,FALSE),váltás_kezdet)*5+IF(többes_kaszt=iker_kaszt,MAX(0,VLOOKUP($L125,választott_kasztok,10,FALSE)-váltás_kezdet),0)+IF(többes_kaszt=váltott_kaszt,MAX(0,váltás_kezdet-VLOOKUP($L125,választott_kasztok,10,FALSE))*5)),0)+IF(választott_kaszt_2=$L125,VLOOKUP($L125,választott_kasztok,10,FALSE)*IF(többes_kaszt=iker_kaszt,1,5),0))</f>
        <v>0</v>
      </c>
      <c r="AI125" s="20">
        <v>0</v>
      </c>
      <c r="AJ125" s="20">
        <v>5</v>
      </c>
      <c r="AK125" s="20">
        <v>4</v>
      </c>
      <c r="AL125" s="37">
        <f>MAX(1,MIN(4,SUMIFS(INDEX(választott_kasztok,,10),INDEX(választott_kasztok,,1),$L125)))*(k6dobás+1)+MAX(0,SUMIFS(INDEX(választott_kasztok,,10),INDEX(választott_kasztok,,1),$L125)-4)*(k6dobás+2)</f>
        <v>7</v>
      </c>
      <c r="AM125" s="10">
        <f>MAX(6,MIN(4,SUMIFS(INDEX(választott_kasztok,,10),INDEX(választott_kasztok,,1),$L125))*6+MAX(0,SUMIFS(INDEX(választott_kasztok,,10),INDEX(választott_kasztok,,1),$L125)-4)*8)</f>
        <v>6</v>
      </c>
      <c r="AN125" s="20" t="s">
        <v>1183</v>
      </c>
      <c r="AO125" s="209"/>
      <c r="AP125" s="33">
        <v>0</v>
      </c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117">
        <f>175501+MAX(0,váltás_kezdet-13)*58500</f>
        <v>175501</v>
      </c>
      <c r="BB125" s="17">
        <f t="shared" si="199"/>
        <v>13</v>
      </c>
      <c r="BC125" s="17">
        <f t="shared" si="200"/>
        <v>11</v>
      </c>
      <c r="BD125" s="17">
        <f t="shared" si="201"/>
        <v>11</v>
      </c>
      <c r="BE125" s="17">
        <f t="shared" si="202"/>
        <v>13</v>
      </c>
      <c r="BF125" s="17">
        <f t="shared" si="203"/>
        <v>13</v>
      </c>
      <c r="BG125" s="17">
        <f t="shared" si="204"/>
        <v>10</v>
      </c>
      <c r="BH125" s="17">
        <f t="shared" si="205"/>
        <v>13</v>
      </c>
      <c r="BI125" s="17">
        <f t="shared" si="206"/>
        <v>13</v>
      </c>
      <c r="BJ125" s="17">
        <f t="shared" si="207"/>
        <v>13</v>
      </c>
      <c r="BK125" s="17">
        <f t="shared" si="208"/>
        <v>13</v>
      </c>
      <c r="BL125" s="17">
        <f t="shared" si="224"/>
        <v>0</v>
      </c>
      <c r="BM125" s="13">
        <f t="shared" si="223"/>
        <v>0</v>
      </c>
      <c r="BN125" s="12"/>
      <c r="BO125" s="12"/>
      <c r="BP125" s="12"/>
      <c r="BQ125" s="12"/>
      <c r="BR125" s="12"/>
      <c r="BS125" s="12"/>
      <c r="BT125" s="12"/>
      <c r="BU125" s="12"/>
      <c r="BV125" s="12"/>
      <c r="BW125" s="51"/>
      <c r="BX125" s="12" t="s">
        <v>131</v>
      </c>
      <c r="BY125" s="12" t="s">
        <v>129</v>
      </c>
      <c r="BZ125" s="12" t="s">
        <v>129</v>
      </c>
      <c r="CA125" s="12" t="s">
        <v>131</v>
      </c>
      <c r="CB125" s="12" t="s">
        <v>131</v>
      </c>
      <c r="CC125" s="12" t="s">
        <v>128</v>
      </c>
      <c r="CD125" s="12" t="s">
        <v>131</v>
      </c>
      <c r="CE125" s="12" t="s">
        <v>131</v>
      </c>
      <c r="CF125" s="12" t="s">
        <v>131</v>
      </c>
      <c r="CG125" s="12" t="s">
        <v>131</v>
      </c>
      <c r="CH125" s="10">
        <v>3</v>
      </c>
      <c r="CI125" s="10">
        <v>18</v>
      </c>
      <c r="CK125" s="63"/>
    </row>
    <row r="126" spans="1:89" s="148" customForma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261" t="s">
        <v>331</v>
      </c>
      <c r="M126" s="33">
        <v>0</v>
      </c>
      <c r="N126" s="33">
        <v>161</v>
      </c>
      <c r="O126" s="33">
        <v>321</v>
      </c>
      <c r="P126" s="33">
        <v>641</v>
      </c>
      <c r="Q126" s="33">
        <v>1441</v>
      </c>
      <c r="R126" s="34">
        <v>2801</v>
      </c>
      <c r="S126" s="33">
        <v>5601</v>
      </c>
      <c r="T126" s="33">
        <v>10001</v>
      </c>
      <c r="U126" s="33">
        <v>20001</v>
      </c>
      <c r="V126" s="33">
        <v>40001</v>
      </c>
      <c r="W126" s="33">
        <v>60001</v>
      </c>
      <c r="X126" s="33">
        <v>80001</v>
      </c>
      <c r="Y126" s="34">
        <f>112001+MAX(0,SUMIFS(INDEX(választott_kasztok,,10),INDEX(választott_kasztok,,1),$L126)-13)*31200</f>
        <v>112001</v>
      </c>
      <c r="Z126" s="10">
        <v>9</v>
      </c>
      <c r="AA126" s="10">
        <v>20</v>
      </c>
      <c r="AB126" s="10">
        <v>75</v>
      </c>
      <c r="AC126" s="10">
        <v>0</v>
      </c>
      <c r="AD126" s="10">
        <f>MAX(11,SUMIFS(INDEX(választott_kasztok,,10),INDEX(választott_kasztok,,1),$L126)*11)</f>
        <v>11</v>
      </c>
      <c r="AE126" s="10">
        <f t="shared" si="228"/>
        <v>3</v>
      </c>
      <c r="AF126" s="10">
        <f t="shared" si="228"/>
        <v>3</v>
      </c>
      <c r="AG126" s="20">
        <f>IF(AND(többes_kaszt=iker_kaszt,váltás_kezdet=0,váltás_kezdet&lt;&gt;""),0,10)</f>
        <v>10</v>
      </c>
      <c r="AH126" s="10">
        <f>MAX(0,IF(választott_kaszt_1=$L126,IF(váltás_kezdet="",VLOOKUP($L126,választott_kasztok,10,FALSE)*14,MIN(VLOOKUP($L126,választott_kasztok,10,FALSE),váltás_kezdet)*14+IF(többes_kaszt=iker_kaszt,MAX(0,VLOOKUP($L126,választott_kasztok,10,FALSE)-váltás_kezdet),0)+IF(többes_kaszt=váltott_kaszt,MAX(0,váltás_kezdet-VLOOKUP($L126,választott_kasztok,10,FALSE))*14)),0)+IF(választott_kaszt_2=$L126,VLOOKUP($L126,választott_kasztok,10,FALSE)*IF(többes_kaszt=iker_kaszt,1,14),0))</f>
        <v>0</v>
      </c>
      <c r="AI126" s="10">
        <v>0</v>
      </c>
      <c r="AJ126" s="10">
        <v>7</v>
      </c>
      <c r="AK126" s="10">
        <v>6</v>
      </c>
      <c r="AL126" s="10">
        <f>MAX(1,SUMIFS(INDEX(választott_kasztok,,10),INDEX(választott_kasztok,,1),$L126))*(k6dobás+4)</f>
        <v>10</v>
      </c>
      <c r="AM126" s="10"/>
      <c r="AN126" s="20" t="str">
        <f>IF(OR(tanultAfTSZ&gt;0,tanultMfTSZ&gt;0),pyarroni,nincsen)</f>
        <v>nincs</v>
      </c>
      <c r="AO126" s="208" t="str">
        <f>IF(tanultMfkaszt=0,"00",IF(INDEX(választott_kasztok,tanultMfkaszt,1)=$L126,TEXT(tanultMfTSZ,"00"),"00"))&amp;IF(tanultAfkaszt=0,"00",IF(INDEX(választott_kasztok,tanultAfkaszt,1)=$L126,TEXT(tanultAfTSZ,"00"),"00"))&amp;"01"</f>
        <v>000001</v>
      </c>
      <c r="AP126" s="33">
        <v>0</v>
      </c>
      <c r="AQ126" s="56"/>
      <c r="AR126" s="56">
        <v>20</v>
      </c>
      <c r="AS126" s="56">
        <v>10</v>
      </c>
      <c r="AT126" s="56"/>
      <c r="AU126" s="56"/>
      <c r="AV126" s="56"/>
      <c r="AW126" s="56"/>
      <c r="AX126" s="56"/>
      <c r="AY126" s="56"/>
      <c r="AZ126" s="56"/>
      <c r="BA126" s="117">
        <f>112001+MAX(0,váltás_kezdet-13)*31200</f>
        <v>112001</v>
      </c>
      <c r="BB126" s="17">
        <f t="shared" si="199"/>
        <v>16</v>
      </c>
      <c r="BC126" s="17">
        <f t="shared" si="200"/>
        <v>13</v>
      </c>
      <c r="BD126" s="17">
        <f t="shared" si="201"/>
        <v>13</v>
      </c>
      <c r="BE126" s="17">
        <f t="shared" si="202"/>
        <v>14</v>
      </c>
      <c r="BF126" s="116">
        <f t="shared" si="203"/>
        <v>16</v>
      </c>
      <c r="BG126" s="17">
        <f t="shared" si="204"/>
        <v>11</v>
      </c>
      <c r="BH126" s="17">
        <f t="shared" si="205"/>
        <v>11</v>
      </c>
      <c r="BI126" s="17">
        <f t="shared" si="206"/>
        <v>13</v>
      </c>
      <c r="BJ126" s="17">
        <f t="shared" si="207"/>
        <v>11</v>
      </c>
      <c r="BK126" s="17">
        <f t="shared" si="208"/>
        <v>13</v>
      </c>
      <c r="BL126" s="17">
        <f t="shared" si="224"/>
        <v>0</v>
      </c>
      <c r="BM126" s="13">
        <f t="shared" si="223"/>
        <v>0</v>
      </c>
      <c r="BN126" s="12" t="s">
        <v>262</v>
      </c>
      <c r="BO126" s="12" t="s">
        <v>262</v>
      </c>
      <c r="BP126" s="12" t="s">
        <v>262</v>
      </c>
      <c r="BQ126" s="12" t="s">
        <v>262</v>
      </c>
      <c r="BR126" s="12"/>
      <c r="BS126" s="12"/>
      <c r="BT126" s="12"/>
      <c r="BU126" s="12"/>
      <c r="BV126" s="12"/>
      <c r="BW126" s="51"/>
      <c r="BX126" s="12" t="s">
        <v>134</v>
      </c>
      <c r="BY126" s="12" t="s">
        <v>131</v>
      </c>
      <c r="BZ126" s="12" t="s">
        <v>131</v>
      </c>
      <c r="CA126" s="12" t="s">
        <v>132</v>
      </c>
      <c r="CB126" s="12" t="s">
        <v>135</v>
      </c>
      <c r="CC126" s="12" t="s">
        <v>129</v>
      </c>
      <c r="CD126" s="12" t="s">
        <v>129</v>
      </c>
      <c r="CE126" s="12" t="s">
        <v>131</v>
      </c>
      <c r="CF126" s="12" t="s">
        <v>129</v>
      </c>
      <c r="CG126" s="12" t="s">
        <v>131</v>
      </c>
      <c r="CH126" s="10">
        <v>3</v>
      </c>
      <c r="CI126" s="10">
        <v>18</v>
      </c>
      <c r="CK126" s="63"/>
    </row>
    <row r="127" spans="1:89" s="148" customForma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 t="s">
        <v>108</v>
      </c>
      <c r="M127" s="33">
        <v>0</v>
      </c>
      <c r="N127" s="33">
        <v>201</v>
      </c>
      <c r="O127" s="33">
        <v>401</v>
      </c>
      <c r="P127" s="33">
        <v>801</v>
      </c>
      <c r="Q127" s="33">
        <v>1601</v>
      </c>
      <c r="R127" s="33">
        <v>4001</v>
      </c>
      <c r="S127" s="33">
        <v>8001</v>
      </c>
      <c r="T127" s="33">
        <v>16001</v>
      </c>
      <c r="U127" s="33">
        <v>32001</v>
      </c>
      <c r="V127" s="33">
        <v>59001</v>
      </c>
      <c r="W127" s="33">
        <v>90501</v>
      </c>
      <c r="X127" s="33">
        <v>140001</v>
      </c>
      <c r="Y127" s="34">
        <f>190001+MAX(0,SUMIFS(INDEX(választott_kasztok,,10),INDEX(választott_kasztok,,1),$L127)-13)*55000</f>
        <v>190001</v>
      </c>
      <c r="Z127" s="10">
        <v>5</v>
      </c>
      <c r="AA127" s="10">
        <v>15</v>
      </c>
      <c r="AB127" s="10">
        <v>75</v>
      </c>
      <c r="AC127" s="10">
        <v>0</v>
      </c>
      <c r="AD127" s="10">
        <f>MAX(8,SUMIFS(INDEX(választott_kasztok,,10),INDEX(választott_kasztok,,1),$L127)*8)</f>
        <v>8</v>
      </c>
      <c r="AE127" s="10">
        <f>MAX(2,SUMIFS(INDEX(választott_kasztok,,10),INDEX(választott_kasztok,,1),$L127)*2)</f>
        <v>2</v>
      </c>
      <c r="AF127" s="10">
        <f>MAX(4,SUMIFS(INDEX(választott_kasztok,,10),INDEX(választott_kasztok,,1),$L127)*4)</f>
        <v>4</v>
      </c>
      <c r="AG127" s="20">
        <f>IF(AND(többes_kaszt=iker_kaszt,váltás_kezdet=0,váltás_kezdet&lt;&gt;""),0,5)</f>
        <v>5</v>
      </c>
      <c r="AH127" s="10">
        <f>MAX(0,IF(választott_kaszt_1=$L127,IF(váltás_kezdet="",VLOOKUP($L127,választott_kasztok,10,FALSE)*8,MIN(VLOOKUP($L127,választott_kasztok,10,FALSE),váltás_kezdet)*8+IF(többes_kaszt=iker_kaszt,MAX(0,VLOOKUP($L127,választott_kasztok,10,FALSE)-váltás_kezdet),0)+IF(többes_kaszt=váltott_kaszt,MAX(0,váltás_kezdet-VLOOKUP($L127,választott_kasztok,10,FALSE))*8)),0)+IF(választott_kaszt_2=$L127,VLOOKUP($L127,választott_kasztok,10,FALSE)*IF(többes_kaszt=iker_kaszt,1,8),0))</f>
        <v>0</v>
      </c>
      <c r="AI127" s="20">
        <v>0</v>
      </c>
      <c r="AJ127" s="20">
        <v>4</v>
      </c>
      <c r="AK127" s="20">
        <v>8</v>
      </c>
      <c r="AL127" s="10">
        <f>MAX(1,SUMIFS(INDEX(választott_kasztok,,10),INDEX(választott_kasztok,,1),$L127))*(k6dobás+5)</f>
        <v>11</v>
      </c>
      <c r="AM127" s="10">
        <f>MAX(9,MIN(1,SUMIFS(INDEX(választott_kasztok,,10),INDEX(választott_kasztok,,1),$L127))*9+MAX(0,SUMIFS(INDEX(választott_kasztok,,10),INDEX(választott_kasztok,,1),$L127)-1)*(6+ROUNDUP(k6dobás/2,0)))</f>
        <v>9</v>
      </c>
      <c r="AN127" s="20" t="s">
        <v>1183</v>
      </c>
      <c r="AO127" s="209"/>
      <c r="AP127" s="33">
        <v>0</v>
      </c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117">
        <f>190001+MAX(0,váltás_kezdet-13)*55000</f>
        <v>190001</v>
      </c>
      <c r="BB127" s="17">
        <f t="shared" si="199"/>
        <v>13</v>
      </c>
      <c r="BC127" s="17">
        <f t="shared" si="200"/>
        <v>13</v>
      </c>
      <c r="BD127" s="17">
        <f t="shared" si="201"/>
        <v>13</v>
      </c>
      <c r="BE127" s="17">
        <f t="shared" si="202"/>
        <v>16</v>
      </c>
      <c r="BF127" s="17">
        <f t="shared" si="203"/>
        <v>11</v>
      </c>
      <c r="BG127" s="17">
        <f t="shared" si="204"/>
        <v>11</v>
      </c>
      <c r="BH127" s="17">
        <f t="shared" si="205"/>
        <v>13</v>
      </c>
      <c r="BI127" s="17">
        <f t="shared" si="206"/>
        <v>16</v>
      </c>
      <c r="BJ127" s="17">
        <f t="shared" si="207"/>
        <v>16</v>
      </c>
      <c r="BK127" s="17">
        <f t="shared" si="208"/>
        <v>14</v>
      </c>
      <c r="BL127" s="17">
        <f t="shared" si="224"/>
        <v>0</v>
      </c>
      <c r="BM127" s="13">
        <f t="shared" si="223"/>
        <v>0</v>
      </c>
      <c r="BN127" s="12"/>
      <c r="BO127" s="12"/>
      <c r="BP127" s="12"/>
      <c r="BQ127" s="12"/>
      <c r="BR127" s="12"/>
      <c r="BS127" s="12"/>
      <c r="BT127" s="12"/>
      <c r="BU127" s="12"/>
      <c r="BV127" s="12"/>
      <c r="BW127" s="51"/>
      <c r="BX127" s="12" t="s">
        <v>131</v>
      </c>
      <c r="BY127" s="12" t="s">
        <v>131</v>
      </c>
      <c r="BZ127" s="12" t="s">
        <v>131</v>
      </c>
      <c r="CA127" s="12" t="s">
        <v>134</v>
      </c>
      <c r="CB127" s="12" t="s">
        <v>129</v>
      </c>
      <c r="CC127" s="12" t="s">
        <v>129</v>
      </c>
      <c r="CD127" s="12" t="s">
        <v>131</v>
      </c>
      <c r="CE127" s="12" t="s">
        <v>134</v>
      </c>
      <c r="CF127" s="12" t="s">
        <v>134</v>
      </c>
      <c r="CG127" s="12" t="s">
        <v>132</v>
      </c>
      <c r="CH127" s="20">
        <v>1</v>
      </c>
      <c r="CI127" s="10">
        <v>6</v>
      </c>
      <c r="CK127" s="63"/>
    </row>
    <row r="128" spans="1:89" s="148" customForma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264" t="s">
        <v>1001</v>
      </c>
      <c r="M128" s="33">
        <v>0</v>
      </c>
      <c r="N128" s="33">
        <v>191</v>
      </c>
      <c r="O128" s="33">
        <v>401</v>
      </c>
      <c r="P128" s="33">
        <v>901</v>
      </c>
      <c r="Q128" s="33">
        <v>1801</v>
      </c>
      <c r="R128" s="33">
        <v>3501</v>
      </c>
      <c r="S128" s="33">
        <v>7501</v>
      </c>
      <c r="T128" s="33">
        <v>15001</v>
      </c>
      <c r="U128" s="33">
        <v>30001</v>
      </c>
      <c r="V128" s="33">
        <v>60001</v>
      </c>
      <c r="W128" s="33">
        <v>110001</v>
      </c>
      <c r="X128" s="33">
        <v>160001</v>
      </c>
      <c r="Y128" s="34">
        <f>220001+MAX(0,SUMIFS(INDEX(választott_kasztok,,10),INDEX(választott_kasztok,,1),$L128)-13)*60000</f>
        <v>220001</v>
      </c>
      <c r="Z128" s="37">
        <f>10+ROUNDDOWN(SUMIFS(INDEX(választott_kasztok,,10),INDEX(választott_kasztok,,1),$L128)/2,0)</f>
        <v>10</v>
      </c>
      <c r="AA128" s="10">
        <v>20</v>
      </c>
      <c r="AB128" s="10">
        <v>75</v>
      </c>
      <c r="AC128" s="10">
        <v>0</v>
      </c>
      <c r="AD128" s="10">
        <f t="shared" ref="AD128" si="242">MAX(11,SUMIFS(INDEX(választott_kasztok,,10),INDEX(választott_kasztok,,1),$L128)*11)</f>
        <v>11</v>
      </c>
      <c r="AE128" s="10">
        <f t="shared" ref="AE128:AF128" si="243">MAX(4,SUMIFS(INDEX(választott_kasztok,,10),INDEX(választott_kasztok,,1),$L128)*4)</f>
        <v>4</v>
      </c>
      <c r="AF128" s="10">
        <f t="shared" si="243"/>
        <v>4</v>
      </c>
      <c r="AG128" s="20">
        <f>IF(AND(többes_kaszt=iker_kaszt,váltás_kezdet=0,váltás_kezdet&lt;&gt;""),0,3)</f>
        <v>3</v>
      </c>
      <c r="AH128" s="10">
        <f>MAX(0,IF(választott_kaszt_1=$L128,IF(váltás_kezdet="",VLOOKUP($L128,választott_kasztok,10,FALSE)*5,MIN(VLOOKUP($L128,választott_kasztok,10,FALSE),váltás_kezdet)*5+IF(többes_kaszt=iker_kaszt,MAX(0,VLOOKUP($L128,választott_kasztok,10,FALSE)-váltás_kezdet),0)+IF(többes_kaszt=váltott_kaszt,MAX(0,váltás_kezdet-VLOOKUP($L128,választott_kasztok,10,FALSE))*5)),0)+IF(választott_kaszt_2=$L128,VLOOKUP($L128,választott_kasztok,10,FALSE)*IF(többes_kaszt=iker_kaszt,1,5),0))</f>
        <v>0</v>
      </c>
      <c r="AI128" s="10">
        <f>MAX(20,IF(AND(többes_kaszt=váltott_kaszt,választott_kaszt_1=$L128),váltás_kezdet*20,SUMIFS(INDEX(választott_kasztok,,10),INDEX(választott_kasztok,,1),$L128)*20))</f>
        <v>20</v>
      </c>
      <c r="AJ128" s="10">
        <v>6</v>
      </c>
      <c r="AK128" s="10">
        <v>7</v>
      </c>
      <c r="AL128" s="10">
        <f>MAX(1,SUMIFS(INDEX(választott_kasztok,,10),INDEX(választott_kasztok,,1),$L128))*(k6dobás+5)</f>
        <v>11</v>
      </c>
      <c r="AM128" s="10"/>
      <c r="AN128" s="20" t="s">
        <v>107</v>
      </c>
      <c r="AO128" s="208"/>
      <c r="AP128" s="33">
        <v>0</v>
      </c>
      <c r="AQ128" s="56">
        <v>30</v>
      </c>
      <c r="AR128" s="56">
        <v>15</v>
      </c>
      <c r="AS128" s="56">
        <v>15</v>
      </c>
      <c r="AT128" s="56">
        <v>20</v>
      </c>
      <c r="AU128" s="56">
        <v>25</v>
      </c>
      <c r="AV128" s="56"/>
      <c r="AW128" s="56"/>
      <c r="AX128" s="56">
        <v>10</v>
      </c>
      <c r="AY128" s="56"/>
      <c r="AZ128" s="56"/>
      <c r="BA128" s="117">
        <f>220001+MAX(0,váltás_kezdet-13)*60000</f>
        <v>220001</v>
      </c>
      <c r="BB128" s="17">
        <f t="shared" si="199"/>
        <v>13</v>
      </c>
      <c r="BC128" s="17">
        <f t="shared" si="200"/>
        <v>16</v>
      </c>
      <c r="BD128" s="17">
        <f t="shared" si="201"/>
        <v>14</v>
      </c>
      <c r="BE128" s="17">
        <f t="shared" si="202"/>
        <v>16</v>
      </c>
      <c r="BF128" s="116">
        <f t="shared" si="203"/>
        <v>16</v>
      </c>
      <c r="BG128" s="17">
        <f t="shared" si="204"/>
        <v>10</v>
      </c>
      <c r="BH128" s="17">
        <f t="shared" si="205"/>
        <v>11</v>
      </c>
      <c r="BI128" s="17">
        <f t="shared" si="206"/>
        <v>14</v>
      </c>
      <c r="BJ128" s="17">
        <f t="shared" si="207"/>
        <v>13</v>
      </c>
      <c r="BK128" s="17">
        <f t="shared" si="208"/>
        <v>16</v>
      </c>
      <c r="BL128" s="17">
        <f t="shared" ref="BL128" si="244">MAX(0,SUM(tulajdonságok)-SUM($BB128:$BK128))</f>
        <v>0</v>
      </c>
      <c r="BM128" s="13">
        <f t="shared" si="223"/>
        <v>0</v>
      </c>
      <c r="BN128" s="12"/>
      <c r="BO128" s="12" t="s">
        <v>262</v>
      </c>
      <c r="BP128" s="12"/>
      <c r="BQ128" s="12" t="s">
        <v>262</v>
      </c>
      <c r="BR128" s="12"/>
      <c r="BS128" s="12"/>
      <c r="BT128" s="12"/>
      <c r="BU128" s="12"/>
      <c r="BV128" s="12"/>
      <c r="BW128" s="51"/>
      <c r="BX128" s="12" t="s">
        <v>131</v>
      </c>
      <c r="BY128" s="12" t="s">
        <v>134</v>
      </c>
      <c r="BZ128" s="12" t="s">
        <v>132</v>
      </c>
      <c r="CA128" s="12" t="s">
        <v>134</v>
      </c>
      <c r="CB128" s="12" t="s">
        <v>135</v>
      </c>
      <c r="CC128" s="12" t="s">
        <v>128</v>
      </c>
      <c r="CD128" s="12" t="s">
        <v>129</v>
      </c>
      <c r="CE128" s="12" t="s">
        <v>132</v>
      </c>
      <c r="CF128" s="12" t="s">
        <v>131</v>
      </c>
      <c r="CG128" s="12" t="s">
        <v>134</v>
      </c>
      <c r="CH128" s="20">
        <v>1</v>
      </c>
      <c r="CI128" s="10">
        <v>6</v>
      </c>
      <c r="CK128" s="63"/>
    </row>
    <row r="129" spans="1:89" s="148" customForma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20" t="s">
        <v>358</v>
      </c>
      <c r="M129" s="34">
        <v>0</v>
      </c>
      <c r="N129" s="34">
        <v>161</v>
      </c>
      <c r="O129" s="34">
        <v>331</v>
      </c>
      <c r="P129" s="34">
        <v>661</v>
      </c>
      <c r="Q129" s="34">
        <v>1301</v>
      </c>
      <c r="R129" s="34">
        <v>2601</v>
      </c>
      <c r="S129" s="34">
        <v>5001</v>
      </c>
      <c r="T129" s="34">
        <v>9001</v>
      </c>
      <c r="U129" s="34">
        <v>23001</v>
      </c>
      <c r="V129" s="34">
        <v>50001</v>
      </c>
      <c r="W129" s="34">
        <v>90001</v>
      </c>
      <c r="X129" s="34">
        <v>130001</v>
      </c>
      <c r="Y129" s="34">
        <f>165001+MAX(0,SUMIFS(INDEX(választott_kasztok,,10),INDEX(választott_kasztok,,1),$L129)-13)*50000</f>
        <v>165001</v>
      </c>
      <c r="Z129" s="20">
        <v>5</v>
      </c>
      <c r="AA129" s="20">
        <v>17</v>
      </c>
      <c r="AB129" s="20">
        <v>72</v>
      </c>
      <c r="AC129" s="20">
        <v>0</v>
      </c>
      <c r="AD129" s="10">
        <f>MAX(8,SUMIFS(INDEX(választott_kasztok,,10),INDEX(választott_kasztok,,1),$L129)*8)</f>
        <v>8</v>
      </c>
      <c r="AE129" s="10">
        <f t="shared" ref="AE129:AF132" si="245">MAX(3,SUMIFS(INDEX(választott_kasztok,,10),INDEX(választott_kasztok,,1),$L129)*3)</f>
        <v>3</v>
      </c>
      <c r="AF129" s="10">
        <f t="shared" si="245"/>
        <v>3</v>
      </c>
      <c r="AG129" s="20">
        <f>IF(AND(többes_kaszt=iker_kaszt,váltás_kezdet=0,váltás_kezdet&lt;&gt;""),0,6)</f>
        <v>6</v>
      </c>
      <c r="AH129" s="10">
        <f>MAX(0,IF(választott_kaszt_1=$L129,IF(váltás_kezdet="",VLOOKUP($L129,választott_kasztok,10,FALSE)*8,MIN(VLOOKUP($L129,választott_kasztok,10,FALSE),váltás_kezdet)*8+IF(többes_kaszt=iker_kaszt,MAX(0,VLOOKUP($L129,választott_kasztok,10,FALSE)-váltás_kezdet),0)+IF(többes_kaszt=váltott_kaszt,MAX(0,váltás_kezdet-VLOOKUP($L129,választott_kasztok,10,FALSE))*8)),0)+IF(választott_kaszt_2=$L129,VLOOKUP($L129,választott_kasztok,10,FALSE)*IF(többes_kaszt=iker_kaszt,1,8),0))</f>
        <v>0</v>
      </c>
      <c r="AI129" s="20">
        <v>0</v>
      </c>
      <c r="AJ129" s="20">
        <v>6</v>
      </c>
      <c r="AK129" s="20">
        <v>6</v>
      </c>
      <c r="AL129" s="10">
        <f>MAX(1,SUMIFS(INDEX(választott_kasztok,,10),INDEX(választott_kasztok,,1),$L129))*(k6dobás+2)</f>
        <v>8</v>
      </c>
      <c r="AM129" s="10">
        <f>MAX(9,MIN(1,SUMIFS(INDEX(választott_kasztok,,10),INDEX(választott_kasztok,,1),$L129))*9+MAX(0,SUMIFS(INDEX(választott_kasztok,,10),INDEX(választott_kasztok,,1),$L129)-1)*(6+ROUNDUP(k6dobás/2,0)))</f>
        <v>9</v>
      </c>
      <c r="AN129" s="20" t="s">
        <v>1183</v>
      </c>
      <c r="AO129" s="209"/>
      <c r="AP129" s="34">
        <v>0</v>
      </c>
      <c r="AQ129" s="57"/>
      <c r="AR129" s="57"/>
      <c r="AS129" s="57"/>
      <c r="AT129" s="57">
        <v>10</v>
      </c>
      <c r="AU129" s="56">
        <f>IF(SUMIFS(INDEX(választott_kasztok,,10),INDEX(választott_kasztok,,1),$L129)&gt;=4,15,0)</f>
        <v>0</v>
      </c>
      <c r="AV129" s="57"/>
      <c r="AW129" s="57">
        <v>35</v>
      </c>
      <c r="AX129" s="57"/>
      <c r="AY129" s="57"/>
      <c r="AZ129" s="57"/>
      <c r="BA129" s="117">
        <f>165001+MAX(0,váltás_kezdet-13)*50000</f>
        <v>165001</v>
      </c>
      <c r="BB129" s="17">
        <f t="shared" si="199"/>
        <v>13</v>
      </c>
      <c r="BC129" s="17">
        <f t="shared" si="200"/>
        <v>11</v>
      </c>
      <c r="BD129" s="17">
        <f t="shared" si="201"/>
        <v>11</v>
      </c>
      <c r="BE129" s="17">
        <f t="shared" si="202"/>
        <v>13</v>
      </c>
      <c r="BF129" s="17">
        <f t="shared" si="203"/>
        <v>14</v>
      </c>
      <c r="BG129" s="116">
        <f t="shared" si="204"/>
        <v>16</v>
      </c>
      <c r="BH129" s="17">
        <f t="shared" si="205"/>
        <v>14</v>
      </c>
      <c r="BI129" s="17">
        <f t="shared" si="206"/>
        <v>14</v>
      </c>
      <c r="BJ129" s="17">
        <f t="shared" si="207"/>
        <v>16</v>
      </c>
      <c r="BK129" s="17">
        <f t="shared" si="208"/>
        <v>14</v>
      </c>
      <c r="BL129" s="17">
        <f t="shared" si="224"/>
        <v>0</v>
      </c>
      <c r="BM129" s="13">
        <f t="shared" si="223"/>
        <v>0</v>
      </c>
      <c r="BN129" s="12"/>
      <c r="BO129" s="12"/>
      <c r="BP129" s="12"/>
      <c r="BQ129" s="12"/>
      <c r="BR129" s="12"/>
      <c r="BS129" s="12"/>
      <c r="BT129" s="12"/>
      <c r="BU129" s="12" t="s">
        <v>262</v>
      </c>
      <c r="BV129" s="12" t="s">
        <v>262</v>
      </c>
      <c r="BW129" s="51"/>
      <c r="BX129" s="12" t="s">
        <v>131</v>
      </c>
      <c r="BY129" s="12" t="s">
        <v>129</v>
      </c>
      <c r="BZ129" s="12" t="s">
        <v>129</v>
      </c>
      <c r="CA129" s="12" t="s">
        <v>131</v>
      </c>
      <c r="CB129" s="12" t="s">
        <v>132</v>
      </c>
      <c r="CC129" s="12" t="s">
        <v>135</v>
      </c>
      <c r="CD129" s="12" t="s">
        <v>132</v>
      </c>
      <c r="CE129" s="12" t="s">
        <v>132</v>
      </c>
      <c r="CF129" s="12" t="s">
        <v>134</v>
      </c>
      <c r="CG129" s="12" t="s">
        <v>132</v>
      </c>
      <c r="CH129" s="10">
        <v>3</v>
      </c>
      <c r="CI129" s="10">
        <v>6</v>
      </c>
      <c r="CK129" s="63"/>
    </row>
    <row r="130" spans="1:89" s="148" customForma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20" t="s">
        <v>359</v>
      </c>
      <c r="M130" s="34">
        <v>0</v>
      </c>
      <c r="N130" s="34">
        <v>161</v>
      </c>
      <c r="O130" s="34">
        <v>331</v>
      </c>
      <c r="P130" s="34">
        <v>661</v>
      </c>
      <c r="Q130" s="34">
        <v>1301</v>
      </c>
      <c r="R130" s="34">
        <v>2601</v>
      </c>
      <c r="S130" s="34">
        <v>5001</v>
      </c>
      <c r="T130" s="34">
        <v>9001</v>
      </c>
      <c r="U130" s="34">
        <v>23001</v>
      </c>
      <c r="V130" s="34">
        <v>50001</v>
      </c>
      <c r="W130" s="34">
        <v>90001</v>
      </c>
      <c r="X130" s="34">
        <v>130001</v>
      </c>
      <c r="Y130" s="34">
        <f>165001+MAX(0,SUMIFS(INDEX(választott_kasztok,,10),INDEX(választott_kasztok,,1),$L130)-13)*50000</f>
        <v>165001</v>
      </c>
      <c r="Z130" s="20">
        <v>5</v>
      </c>
      <c r="AA130" s="20">
        <v>17</v>
      </c>
      <c r="AB130" s="20">
        <v>72</v>
      </c>
      <c r="AC130" s="20">
        <v>0</v>
      </c>
      <c r="AD130" s="10">
        <f>MAX(8,SUMIFS(INDEX(választott_kasztok,,10),INDEX(választott_kasztok,,1),$L130)*8)</f>
        <v>8</v>
      </c>
      <c r="AE130" s="10">
        <f t="shared" si="245"/>
        <v>3</v>
      </c>
      <c r="AF130" s="10">
        <f t="shared" si="245"/>
        <v>3</v>
      </c>
      <c r="AG130" s="20">
        <f>IF(AND(többes_kaszt=iker_kaszt,váltás_kezdet=0,váltás_kezdet&lt;&gt;""),0,6)</f>
        <v>6</v>
      </c>
      <c r="AH130" s="10">
        <f>MAX(0,IF(választott_kaszt_1=$L130,IF(váltás_kezdet="",VLOOKUP($L130,választott_kasztok,10,FALSE)*10,MIN(VLOOKUP($L130,választott_kasztok,10,FALSE),váltás_kezdet)*10+IF(többes_kaszt=iker_kaszt,MAX(0,VLOOKUP($L130,választott_kasztok,10,FALSE)-váltás_kezdet),0)+IF(többes_kaszt=váltott_kaszt,MAX(0,váltás_kezdet-VLOOKUP($L130,választott_kasztok,10,FALSE))*10)),0)+IF(választott_kaszt_2=$L130,VLOOKUP($L130,választott_kasztok,10,FALSE)*IF(többes_kaszt=iker_kaszt,1,10),0))</f>
        <v>0</v>
      </c>
      <c r="AI130" s="20">
        <v>0</v>
      </c>
      <c r="AJ130" s="20">
        <v>6</v>
      </c>
      <c r="AK130" s="20">
        <v>6</v>
      </c>
      <c r="AL130" s="10">
        <f>MAX(1,SUMIFS(INDEX(választott_kasztok,,10),INDEX(választott_kasztok,,1),$L130))*(k6dobás+2)</f>
        <v>8</v>
      </c>
      <c r="AM130" s="10">
        <f>MAX(9,MIN(1,SUMIFS(INDEX(választott_kasztok,,10),INDEX(választott_kasztok,,1),$L130))*9+MAX(0,SUMIFS(INDEX(választott_kasztok,,10),INDEX(választott_kasztok,,1),$L130)-1)*(6+ROUNDUP(k6dobás/2,0)))</f>
        <v>9</v>
      </c>
      <c r="AN130" s="20" t="s">
        <v>1183</v>
      </c>
      <c r="AO130" s="209"/>
      <c r="AP130" s="34">
        <v>0</v>
      </c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117">
        <f>165001+MAX(0,váltás_kezdet-13)*50000</f>
        <v>165001</v>
      </c>
      <c r="BB130" s="17">
        <f t="shared" si="199"/>
        <v>13</v>
      </c>
      <c r="BC130" s="17">
        <f t="shared" si="200"/>
        <v>11</v>
      </c>
      <c r="BD130" s="17">
        <f t="shared" si="201"/>
        <v>11</v>
      </c>
      <c r="BE130" s="17">
        <f t="shared" si="202"/>
        <v>13</v>
      </c>
      <c r="BF130" s="17">
        <f t="shared" si="203"/>
        <v>14</v>
      </c>
      <c r="BG130" s="116">
        <f t="shared" si="204"/>
        <v>16</v>
      </c>
      <c r="BH130" s="17">
        <f t="shared" si="205"/>
        <v>14</v>
      </c>
      <c r="BI130" s="17">
        <f t="shared" si="206"/>
        <v>14</v>
      </c>
      <c r="BJ130" s="17">
        <f t="shared" si="207"/>
        <v>16</v>
      </c>
      <c r="BK130" s="17">
        <f t="shared" si="208"/>
        <v>14</v>
      </c>
      <c r="BL130" s="17">
        <f t="shared" si="224"/>
        <v>0</v>
      </c>
      <c r="BM130" s="13">
        <f t="shared" si="223"/>
        <v>0</v>
      </c>
      <c r="BN130" s="12" t="s">
        <v>262</v>
      </c>
      <c r="BO130" s="12"/>
      <c r="BP130" s="12"/>
      <c r="BQ130" s="12"/>
      <c r="BR130" s="12"/>
      <c r="BS130" s="12"/>
      <c r="BT130" s="12" t="s">
        <v>262</v>
      </c>
      <c r="BU130" s="12" t="s">
        <v>262</v>
      </c>
      <c r="BV130" s="12" t="s">
        <v>262</v>
      </c>
      <c r="BW130" s="51"/>
      <c r="BX130" s="12" t="s">
        <v>131</v>
      </c>
      <c r="BY130" s="12" t="s">
        <v>129</v>
      </c>
      <c r="BZ130" s="12" t="s">
        <v>129</v>
      </c>
      <c r="CA130" s="12" t="s">
        <v>131</v>
      </c>
      <c r="CB130" s="12" t="s">
        <v>132</v>
      </c>
      <c r="CC130" s="12" t="s">
        <v>135</v>
      </c>
      <c r="CD130" s="12" t="s">
        <v>132</v>
      </c>
      <c r="CE130" s="12" t="s">
        <v>132</v>
      </c>
      <c r="CF130" s="12" t="s">
        <v>134</v>
      </c>
      <c r="CG130" s="12" t="s">
        <v>132</v>
      </c>
      <c r="CH130" s="10">
        <v>3</v>
      </c>
      <c r="CI130" s="10">
        <v>6</v>
      </c>
      <c r="CK130" s="63"/>
    </row>
    <row r="131" spans="1:89" s="148" customForma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20" t="s">
        <v>360</v>
      </c>
      <c r="M131" s="34">
        <v>0</v>
      </c>
      <c r="N131" s="34">
        <v>161</v>
      </c>
      <c r="O131" s="34">
        <v>331</v>
      </c>
      <c r="P131" s="34">
        <v>661</v>
      </c>
      <c r="Q131" s="34">
        <v>1301</v>
      </c>
      <c r="R131" s="34">
        <v>2601</v>
      </c>
      <c r="S131" s="34">
        <v>5001</v>
      </c>
      <c r="T131" s="34">
        <v>9001</v>
      </c>
      <c r="U131" s="34">
        <v>23001</v>
      </c>
      <c r="V131" s="34">
        <v>50001</v>
      </c>
      <c r="W131" s="34">
        <v>90001</v>
      </c>
      <c r="X131" s="34">
        <v>130001</v>
      </c>
      <c r="Y131" s="34">
        <f>165001+MAX(0,SUMIFS(INDEX(választott_kasztok,,10),INDEX(választott_kasztok,,1),$L131)-13)*50000</f>
        <v>165001</v>
      </c>
      <c r="Z131" s="20">
        <v>5</v>
      </c>
      <c r="AA131" s="20">
        <v>17</v>
      </c>
      <c r="AB131" s="20">
        <v>72</v>
      </c>
      <c r="AC131" s="20">
        <v>0</v>
      </c>
      <c r="AD131" s="10">
        <f>MAX(8,SUMIFS(INDEX(választott_kasztok,,10),INDEX(választott_kasztok,,1),$L131)*8)</f>
        <v>8</v>
      </c>
      <c r="AE131" s="10">
        <f t="shared" si="245"/>
        <v>3</v>
      </c>
      <c r="AF131" s="10">
        <f t="shared" si="245"/>
        <v>3</v>
      </c>
      <c r="AG131" s="20">
        <f>IF(AND(többes_kaszt=iker_kaszt,váltás_kezdet=0,váltás_kezdet&lt;&gt;""),0,6)</f>
        <v>6</v>
      </c>
      <c r="AH131" s="10">
        <f>MAX(0,IF(választott_kaszt_1=$L131,IF(váltás_kezdet="",VLOOKUP($L131,választott_kasztok,10,FALSE)*10,MIN(VLOOKUP($L131,választott_kasztok,10,FALSE),váltás_kezdet)*10+IF(többes_kaszt=iker_kaszt,MAX(0,VLOOKUP($L131,választott_kasztok,10,FALSE)-váltás_kezdet),0)+IF(többes_kaszt=váltott_kaszt,MAX(0,váltás_kezdet-VLOOKUP($L131,választott_kasztok,10,FALSE))*10)),0)+IF(választott_kaszt_2=$L131,VLOOKUP($L131,választott_kasztok,10,FALSE)*IF(többes_kaszt=iker_kaszt,1,10),0))</f>
        <v>0</v>
      </c>
      <c r="AI131" s="20">
        <v>0</v>
      </c>
      <c r="AJ131" s="20">
        <v>6</v>
      </c>
      <c r="AK131" s="20">
        <v>6</v>
      </c>
      <c r="AL131" s="10">
        <f>MAX(1,SUMIFS(INDEX(választott_kasztok,,10),INDEX(választott_kasztok,,1),$L131))*(k6dobás+2)</f>
        <v>8</v>
      </c>
      <c r="AM131" s="10">
        <f>MAX(9,MIN(1,SUMIFS(INDEX(választott_kasztok,,10),INDEX(választott_kasztok,,1),$L131))*9+MAX(0,SUMIFS(INDEX(választott_kasztok,,10),INDEX(választott_kasztok,,1),$L131)-1)*(6+ROUNDUP(k6dobás/2,0)))</f>
        <v>9</v>
      </c>
      <c r="AN131" s="20" t="s">
        <v>1183</v>
      </c>
      <c r="AO131" s="209"/>
      <c r="AP131" s="34">
        <v>0</v>
      </c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117">
        <f>165001+MAX(0,váltás_kezdet-13)*50000</f>
        <v>165001</v>
      </c>
      <c r="BB131" s="17">
        <f t="shared" si="199"/>
        <v>13</v>
      </c>
      <c r="BC131" s="17">
        <f t="shared" si="200"/>
        <v>11</v>
      </c>
      <c r="BD131" s="17">
        <f t="shared" si="201"/>
        <v>11</v>
      </c>
      <c r="BE131" s="17">
        <f t="shared" si="202"/>
        <v>13</v>
      </c>
      <c r="BF131" s="17">
        <f t="shared" si="203"/>
        <v>14</v>
      </c>
      <c r="BG131" s="116">
        <f t="shared" si="204"/>
        <v>16</v>
      </c>
      <c r="BH131" s="17">
        <f t="shared" si="205"/>
        <v>14</v>
      </c>
      <c r="BI131" s="17">
        <f t="shared" si="206"/>
        <v>14</v>
      </c>
      <c r="BJ131" s="17">
        <f t="shared" si="207"/>
        <v>16</v>
      </c>
      <c r="BK131" s="17">
        <f t="shared" si="208"/>
        <v>14</v>
      </c>
      <c r="BL131" s="17">
        <f t="shared" si="224"/>
        <v>0</v>
      </c>
      <c r="BM131" s="13">
        <f t="shared" si="223"/>
        <v>0</v>
      </c>
      <c r="BN131" s="12"/>
      <c r="BO131" s="12"/>
      <c r="BP131" s="12"/>
      <c r="BQ131" s="12"/>
      <c r="BR131" s="12"/>
      <c r="BS131" s="12"/>
      <c r="BT131" s="12"/>
      <c r="BU131" s="12" t="s">
        <v>262</v>
      </c>
      <c r="BV131" s="12" t="s">
        <v>262</v>
      </c>
      <c r="BW131" s="51"/>
      <c r="BX131" s="12" t="s">
        <v>131</v>
      </c>
      <c r="BY131" s="12" t="s">
        <v>129</v>
      </c>
      <c r="BZ131" s="12" t="s">
        <v>129</v>
      </c>
      <c r="CA131" s="12" t="s">
        <v>131</v>
      </c>
      <c r="CB131" s="12" t="s">
        <v>132</v>
      </c>
      <c r="CC131" s="12" t="s">
        <v>135</v>
      </c>
      <c r="CD131" s="12" t="s">
        <v>132</v>
      </c>
      <c r="CE131" s="12" t="s">
        <v>132</v>
      </c>
      <c r="CF131" s="12" t="s">
        <v>134</v>
      </c>
      <c r="CG131" s="12" t="s">
        <v>132</v>
      </c>
      <c r="CH131" s="10">
        <v>3</v>
      </c>
      <c r="CI131" s="10">
        <v>6</v>
      </c>
      <c r="CK131" s="63"/>
    </row>
    <row r="132" spans="1:89" s="148" customForma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261" t="s">
        <v>332</v>
      </c>
      <c r="M132" s="33">
        <v>0</v>
      </c>
      <c r="N132" s="33">
        <v>161</v>
      </c>
      <c r="O132" s="33">
        <v>321</v>
      </c>
      <c r="P132" s="33">
        <v>641</v>
      </c>
      <c r="Q132" s="33">
        <v>1441</v>
      </c>
      <c r="R132" s="34">
        <v>2801</v>
      </c>
      <c r="S132" s="33">
        <v>5601</v>
      </c>
      <c r="T132" s="33">
        <v>10001</v>
      </c>
      <c r="U132" s="33">
        <v>20001</v>
      </c>
      <c r="V132" s="33">
        <v>40001</v>
      </c>
      <c r="W132" s="33">
        <v>60001</v>
      </c>
      <c r="X132" s="33">
        <v>80001</v>
      </c>
      <c r="Y132" s="34">
        <f>112001+MAX(0,SUMIFS(INDEX(választott_kasztok,,10),INDEX(választott_kasztok,,1),$L132)-13)*31200</f>
        <v>112001</v>
      </c>
      <c r="Z132" s="10">
        <v>10</v>
      </c>
      <c r="AA132" s="10">
        <v>25</v>
      </c>
      <c r="AB132" s="10">
        <v>70</v>
      </c>
      <c r="AC132" s="10">
        <v>0</v>
      </c>
      <c r="AD132" s="10">
        <f>MAX(11,SUMIFS(INDEX(választott_kasztok,,10),INDEX(választott_kasztok,,1),$L132)*11)</f>
        <v>11</v>
      </c>
      <c r="AE132" s="10">
        <f t="shared" si="245"/>
        <v>3</v>
      </c>
      <c r="AF132" s="10">
        <f t="shared" si="245"/>
        <v>3</v>
      </c>
      <c r="AG132" s="20">
        <f>IF(AND(többes_kaszt=iker_kaszt,váltás_kezdet=0,váltás_kezdet&lt;&gt;""),0,4)</f>
        <v>4</v>
      </c>
      <c r="AH132" s="10">
        <f>MAX(0,IF(választott_kaszt_1=$L132,IF(váltás_kezdet="",VLOOKUP($L132,választott_kasztok,10,FALSE)*12,MIN(VLOOKUP($L132,választott_kasztok,10,FALSE),váltás_kezdet)*12+IF(többes_kaszt=iker_kaszt,MAX(0,VLOOKUP($L132,választott_kasztok,10,FALSE)-váltás_kezdet),0)+IF(többes_kaszt=váltott_kaszt,MAX(0,váltás_kezdet-VLOOKUP($L132,választott_kasztok,10,FALSE))*12)),0)+IF(választott_kaszt_2=$L132,VLOOKUP($L132,választott_kasztok,10,FALSE)*IF(többes_kaszt=iker_kaszt,1,12),0))</f>
        <v>0</v>
      </c>
      <c r="AI132" s="10">
        <v>0</v>
      </c>
      <c r="AJ132" s="10">
        <v>7</v>
      </c>
      <c r="AK132" s="10">
        <v>6</v>
      </c>
      <c r="AL132" s="10">
        <f>MAX(1,SUMIFS(INDEX(választott_kasztok,,10),INDEX(választott_kasztok,,1),$L132))*(k6dobás+4)</f>
        <v>10</v>
      </c>
      <c r="AM132" s="10"/>
      <c r="AN132" s="20" t="s">
        <v>1183</v>
      </c>
      <c r="AO132" s="209" t="str">
        <f>IF(tanultMfkaszt=0,"00",IF(INDEX(választott_kasztok,tanultMfkaszt,1)=$L126,TEXT(tanultMfTSZ,"00"),"00"))&amp;"0100"</f>
        <v>000100</v>
      </c>
      <c r="AP132" s="33">
        <v>0</v>
      </c>
      <c r="AQ132" s="56">
        <v>10</v>
      </c>
      <c r="AR132" s="56">
        <v>20</v>
      </c>
      <c r="AS132" s="56">
        <v>10</v>
      </c>
      <c r="AT132" s="56"/>
      <c r="AU132" s="56"/>
      <c r="AV132" s="56"/>
      <c r="AW132" s="56"/>
      <c r="AX132" s="56"/>
      <c r="AY132" s="56"/>
      <c r="AZ132" s="56"/>
      <c r="BA132" s="117">
        <f>112001+MAX(0,váltás_kezdet-13)*31200</f>
        <v>112001</v>
      </c>
      <c r="BB132" s="17">
        <f t="shared" ref="BB132:BB153" si="246">MAX(SUMIFS(INDEX(dobások,,2),INDEX(dobások,,1),BX132)+SUMIFS(INDEX(fajok,,3),INDEX(fajok,,1),választott_faj),IF(AND(többes_kaszt=iker_kaszt,váltás_kezdet=1,választott_kaszt_1=$L132),SUMIFS(INDEX(kasztok,,43),INDEX(kasztok,,1),választott_kaszt_2),0))</f>
        <v>16</v>
      </c>
      <c r="BC132" s="17">
        <f t="shared" ref="BC132:BC153" si="247">MAX(SUMIFS(INDEX(dobások,,2),INDEX(dobások,,1),BY132)+SUMIFS(INDEX(fajok,,4),INDEX(fajok,,1),választott_faj),IF(AND(többes_kaszt=iker_kaszt,váltás_kezdet=1,választott_kaszt_1=$L132),SUMIFS(INDEX(kasztok,,44),INDEX(kasztok,,1),választott_kaszt_2),0))</f>
        <v>13</v>
      </c>
      <c r="BD132" s="17">
        <f t="shared" ref="BD132:BD153" si="248">MAX(SUMIFS(INDEX(dobások,,2),INDEX(dobások,,1),BZ132)+SUMIFS(INDEX(fajok,,5),INDEX(fajok,,1),választott_faj),IF(AND(többes_kaszt=iker_kaszt,váltás_kezdet=1,választott_kaszt_1=$L132),SUMIFS(INDEX(kasztok,,45),INDEX(kasztok,,1),választott_kaszt_2),0))</f>
        <v>13</v>
      </c>
      <c r="BE132" s="17">
        <f t="shared" ref="BE132:BE153" si="249">MAX(SUMIFS(INDEX(dobások,,2),INDEX(dobások,,1),CA132)+SUMIFS(INDEX(fajok,,6),INDEX(fajok,,1),választott_faj),IF(AND(többes_kaszt=iker_kaszt,váltás_kezdet=1,választott_kaszt_1=$L132),SUMIFS(INDEX(kasztok,,46),INDEX(kasztok,,1),választott_kaszt_2),0))</f>
        <v>14</v>
      </c>
      <c r="BF132" s="116">
        <f t="shared" ref="BF132:BF153" si="250">MAX(SUMIFS(INDEX(dobások,,2),INDEX(dobások,,1),CB132)+SUMIFS(INDEX(fajok,,7),INDEX(fajok,,1),választott_faj),IF(AND(többes_kaszt=iker_kaszt,váltás_kezdet=1,választott_kaszt_1=$L132),SUMIFS(INDEX(kasztok,,47),INDEX(kasztok,,1),választott_kaszt_2),0))</f>
        <v>16</v>
      </c>
      <c r="BG132" s="17">
        <f t="shared" ref="BG132:BG153" si="251">MAX(SUMIFS(INDEX(dobások,,2),INDEX(dobások,,1),CC132)+SUMIFS(INDEX(fajok,,8),INDEX(fajok,,1),választott_faj),IF(AND(többes_kaszt=iker_kaszt,váltás_kezdet=1,választott_kaszt_1=$L132),SUMIFS(INDEX(kasztok,,48),INDEX(kasztok,,1),választott_kaszt_2),0))</f>
        <v>11</v>
      </c>
      <c r="BH132" s="17">
        <f t="shared" ref="BH132:BH153" si="252">MAX(SUMIFS(INDEX(dobások,,2),INDEX(dobások,,1),CD132)+SUMIFS(INDEX(fajok,,9),INDEX(fajok,,1),választott_faj),IF(AND(többes_kaszt=iker_kaszt,váltás_kezdet=1,választott_kaszt_1=$L132),SUMIFS(INDEX(kasztok,,49),INDEX(kasztok,,1),választott_kaszt_2),0))</f>
        <v>11</v>
      </c>
      <c r="BI132" s="17">
        <f t="shared" ref="BI132:BI153" si="253">MAX(SUMIFS(INDEX(dobások,,2),INDEX(dobások,,1),CE132),IF(AND(többes_kaszt=iker_kaszt,váltás_kezdet=1,választott_kaszt_1=$L132),SUMIFS(INDEX(kasztok,,50),INDEX(kasztok,,1),választott_kaszt_2),0))</f>
        <v>13</v>
      </c>
      <c r="BJ132" s="17">
        <f t="shared" ref="BJ132:BJ153" si="254">MAX(SUMIFS(INDEX(dobások,,2),INDEX(dobások,,1),CF132)+SUMIFS(INDEX(fajok,,10),INDEX(fajok,,1),választott_faj),IF(AND(többes_kaszt=iker_kaszt,váltás_kezdet=1,választott_kaszt_1=$L132),SUMIFS(INDEX(kasztok,,51),INDEX(kasztok,,1),választott_kaszt_2),0))</f>
        <v>11</v>
      </c>
      <c r="BK132" s="17">
        <f t="shared" ref="BK132:BK153" si="255">MAX(SUMIFS(INDEX(dobások,,2),INDEX(dobások,,1),CG132),IF(AND(többes_kaszt=iker_kaszt,váltás_kezdet=1,választott_kaszt_1=$L132),SUMIFS(INDEX(kasztok,,52),INDEX(kasztok,,1),választott_kaszt_2),0))</f>
        <v>13</v>
      </c>
      <c r="BL132" s="17">
        <f t="shared" si="224"/>
        <v>0</v>
      </c>
      <c r="BM132" s="13">
        <f t="shared" si="223"/>
        <v>0</v>
      </c>
      <c r="BN132" s="12" t="s">
        <v>262</v>
      </c>
      <c r="BO132" s="12" t="s">
        <v>262</v>
      </c>
      <c r="BP132" s="12" t="s">
        <v>262</v>
      </c>
      <c r="BQ132" s="12" t="s">
        <v>262</v>
      </c>
      <c r="BR132" s="12"/>
      <c r="BS132" s="12"/>
      <c r="BT132" s="12"/>
      <c r="BU132" s="12"/>
      <c r="BV132" s="12"/>
      <c r="BW132" s="51"/>
      <c r="BX132" s="12" t="s">
        <v>134</v>
      </c>
      <c r="BY132" s="12" t="s">
        <v>131</v>
      </c>
      <c r="BZ132" s="12" t="s">
        <v>131</v>
      </c>
      <c r="CA132" s="12" t="s">
        <v>132</v>
      </c>
      <c r="CB132" s="12" t="s">
        <v>135</v>
      </c>
      <c r="CC132" s="12" t="s">
        <v>129</v>
      </c>
      <c r="CD132" s="12" t="s">
        <v>129</v>
      </c>
      <c r="CE132" s="12" t="s">
        <v>131</v>
      </c>
      <c r="CF132" s="12" t="s">
        <v>129</v>
      </c>
      <c r="CG132" s="12" t="s">
        <v>131</v>
      </c>
      <c r="CH132" s="10">
        <v>3</v>
      </c>
      <c r="CI132" s="10">
        <v>18</v>
      </c>
      <c r="CK132" s="63"/>
    </row>
    <row r="133" spans="1:89" s="148" customForma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 t="s">
        <v>36</v>
      </c>
      <c r="M133" s="33">
        <v>0</v>
      </c>
      <c r="N133" s="33">
        <v>101</v>
      </c>
      <c r="O133" s="33">
        <v>203</v>
      </c>
      <c r="P133" s="33">
        <v>401</v>
      </c>
      <c r="Q133" s="33">
        <v>803</v>
      </c>
      <c r="R133" s="33">
        <v>1701</v>
      </c>
      <c r="S133" s="33">
        <v>4501</v>
      </c>
      <c r="T133" s="33">
        <v>9001</v>
      </c>
      <c r="U133" s="33">
        <v>22001</v>
      </c>
      <c r="V133" s="33">
        <v>46501</v>
      </c>
      <c r="W133" s="33">
        <v>68501</v>
      </c>
      <c r="X133" s="33">
        <v>98001</v>
      </c>
      <c r="Y133" s="34">
        <f>131501+MAX(0,SUMIFS(INDEX(választott_kasztok,,10),INDEX(választott_kasztok,,1),$L133)-13)*33500</f>
        <v>131501</v>
      </c>
      <c r="Z133" s="37">
        <f>8+SUMIFS(INDEX(választott_kasztok,,10),INDEX(választott_kasztok,,1),$L133)</f>
        <v>8</v>
      </c>
      <c r="AA133" s="10">
        <v>17</v>
      </c>
      <c r="AB133" s="10">
        <v>72</v>
      </c>
      <c r="AC133" s="10">
        <v>10</v>
      </c>
      <c r="AD133" s="10">
        <f>MAX(6,SUMIFS(INDEX(választott_kasztok,,10),INDEX(választott_kasztok,,1),$L133)*6)</f>
        <v>6</v>
      </c>
      <c r="AE133" s="10">
        <f>MAX(1,SUMIFS(INDEX(választott_kasztok,,10),INDEX(választott_kasztok,,1),$L133)*1)</f>
        <v>1</v>
      </c>
      <c r="AF133" s="10">
        <f>MAX(1,SUMIFS(INDEX(választott_kasztok,,10),INDEX(választott_kasztok,,1),$L133)*1)</f>
        <v>1</v>
      </c>
      <c r="AG133" s="20">
        <f>IF(AND(többes_kaszt=iker_kaszt,váltás_kezdet=0,váltás_kezdet&lt;&gt;""),0,8)</f>
        <v>8</v>
      </c>
      <c r="AH133" s="10">
        <f>MAX(0,IF(választott_kaszt_1=$L133,IF(váltás_kezdet="",VLOOKUP($L133,választott_kasztok,10,FALSE)*10,MIN(VLOOKUP($L133,választott_kasztok,10,FALSE),váltás_kezdet)*10+IF(többes_kaszt=iker_kaszt,MAX(0,VLOOKUP($L133,választott_kasztok,10,FALSE)-váltás_kezdet),0)+IF(többes_kaszt=váltott_kaszt,MAX(0,váltás_kezdet-VLOOKUP($L133,választott_kasztok,10,FALSE))*10)),0)+IF(választott_kaszt_2=$L133,VLOOKUP($L133,választott_kasztok,10,FALSE)*IF(többes_kaszt=iker_kaszt,1,10),0))</f>
        <v>0</v>
      </c>
      <c r="AI133" s="10">
        <f>MAX(62,IF(AND(többes_kaszt=váltott_kaszt,választott_kaszt_1=$L133),váltás_kezdet*62,SUMIFS(INDEX(választott_kasztok,,10),INDEX(választott_kasztok,,1),$L133)*62))</f>
        <v>62</v>
      </c>
      <c r="AJ133" s="10">
        <v>4</v>
      </c>
      <c r="AK133" s="10">
        <v>5</v>
      </c>
      <c r="AL133" s="10">
        <f>MAX(1,SUMIFS(INDEX(választott_kasztok,,10),INDEX(választott_kasztok,,1),$L133))*(k6dobás+3)</f>
        <v>9</v>
      </c>
      <c r="AM133" s="10"/>
      <c r="AN133" s="20" t="str">
        <f>IF(OR(tanultAfTSZ&gt;0,tanultMfTSZ&gt;0),pyarroni,nincsen)</f>
        <v>nincs</v>
      </c>
      <c r="AO133" s="208" t="str">
        <f>IF(tanultMfkaszt=0,"00",IF(INDEX(választott_kasztok,tanultMfkaszt,1)=$L133,TEXT(tanultMfTSZ,"00"),"00"))&amp;IF(tanultAfkaszt=0,"00",IF(INDEX(választott_kasztok,tanultAfkaszt,1)=$L133,TEXT(tanultAfTSZ,"00"),"00"))&amp;"01"</f>
        <v>000001</v>
      </c>
      <c r="AP133" s="33">
        <v>0</v>
      </c>
      <c r="AQ133" s="56">
        <v>45</v>
      </c>
      <c r="AR133" s="56">
        <v>15</v>
      </c>
      <c r="AS133" s="56">
        <v>10</v>
      </c>
      <c r="AT133" s="56">
        <v>30</v>
      </c>
      <c r="AU133" s="56">
        <v>15</v>
      </c>
      <c r="AV133" s="56">
        <v>25</v>
      </c>
      <c r="AW133" s="56">
        <v>35</v>
      </c>
      <c r="AX133" s="56">
        <v>25</v>
      </c>
      <c r="AY133" s="56">
        <v>25</v>
      </c>
      <c r="AZ133" s="56">
        <v>15</v>
      </c>
      <c r="BA133" s="117">
        <f>131501+MAX(0,váltás_kezdet-13)*33500</f>
        <v>131501</v>
      </c>
      <c r="BB133" s="17">
        <f t="shared" si="246"/>
        <v>11</v>
      </c>
      <c r="BC133" s="17">
        <f t="shared" si="247"/>
        <v>14</v>
      </c>
      <c r="BD133" s="17">
        <f t="shared" si="248"/>
        <v>16</v>
      </c>
      <c r="BE133" s="17">
        <f t="shared" si="249"/>
        <v>11</v>
      </c>
      <c r="BF133" s="17">
        <f t="shared" si="250"/>
        <v>11</v>
      </c>
      <c r="BG133" s="17">
        <f t="shared" si="251"/>
        <v>13</v>
      </c>
      <c r="BH133" s="17">
        <f t="shared" si="252"/>
        <v>13</v>
      </c>
      <c r="BI133" s="17">
        <f t="shared" si="253"/>
        <v>10</v>
      </c>
      <c r="BJ133" s="17">
        <f t="shared" si="254"/>
        <v>11</v>
      </c>
      <c r="BK133" s="17">
        <f t="shared" si="255"/>
        <v>16</v>
      </c>
      <c r="BL133" s="17">
        <f t="shared" si="224"/>
        <v>0</v>
      </c>
      <c r="BM133" s="13">
        <f t="shared" ref="BM133:BM153" si="256">MAX(0,erő-(SUMIFS(INDEX(dobások,,4),INDEX(dobások,,1),BX133)+SUMIFS(INDEX(fajok,,3),INDEX(fajok,,1),választott_faj)))+MAX(0,gyorsaság-(SUMIFS(INDEX(dobások,,4),INDEX(dobások,,1),BY133)+SUMIFS(INDEX(fajok,,4),INDEX(fajok,,1),választott_faj)))+MAX(0,ügyesség-(SUMIFS(INDEX(dobások,,4),INDEX(dobások,,1),BZ133)+SUMIFS(INDEX(fajok,,5),INDEX(fajok,,1),választott_faj)))+MAX(0,állóképesség-(SUMIFS(INDEX(dobások,,4),INDEX(dobások,,1),CA133)+SUMIFS(INDEX(fajok,,6),INDEX(fajok,,1),választott_faj)))+MAX(0,egészség-(SUMIFS(INDEX(dobások,,4),INDEX(dobások,,1),CB133)+SUMIFS(INDEX(fajok,,7),INDEX(fajok,,1),választott_faj)))+MAX(0,szépség-(SUMIFS(INDEX(dobások,,4),INDEX(dobások,,1),CC133)+SUMIFS(INDEX(fajok,,8),INDEX(fajok,,1),választott_faj)))+MAX(0,intelligencia-(SUMIFS(INDEX(dobások,,4),INDEX(dobások,,1),CD133)+SUMIFS(INDEX(fajok,,9),INDEX(fajok,,1),választott_faj)))+MAX(0,akaraterő-SUMIFS(INDEX(dobások,,4),INDEX(dobások,,1),CE133))+MAX(0,asztrál-(SUMIFS(INDEX(dobások,,4),INDEX(dobások,,1),CF133)+SUMIFS(INDEX(fajok,,10),INDEX(fajok,,1),választott_faj)))+MAX(0,érzékelés-SUMIFS(INDEX(dobások,,4),INDEX(dobások,,1),CG133))</f>
        <v>0</v>
      </c>
      <c r="BN133" s="12"/>
      <c r="BO133" s="12" t="s">
        <v>262</v>
      </c>
      <c r="BP133" s="12" t="s">
        <v>262</v>
      </c>
      <c r="BQ133" s="12"/>
      <c r="BR133" s="12"/>
      <c r="BS133" s="12"/>
      <c r="BT133" s="12"/>
      <c r="BU133" s="12"/>
      <c r="BV133" s="12"/>
      <c r="BW133" s="51"/>
      <c r="BX133" s="12" t="s">
        <v>129</v>
      </c>
      <c r="BY133" s="12" t="s">
        <v>132</v>
      </c>
      <c r="BZ133" s="12" t="s">
        <v>134</v>
      </c>
      <c r="CA133" s="12" t="s">
        <v>129</v>
      </c>
      <c r="CB133" s="12" t="s">
        <v>129</v>
      </c>
      <c r="CC133" s="12" t="s">
        <v>131</v>
      </c>
      <c r="CD133" s="12" t="s">
        <v>131</v>
      </c>
      <c r="CE133" s="12" t="s">
        <v>128</v>
      </c>
      <c r="CF133" s="12" t="s">
        <v>129</v>
      </c>
      <c r="CG133" s="12" t="s">
        <v>134</v>
      </c>
      <c r="CH133" s="20">
        <v>1</v>
      </c>
      <c r="CI133" s="10">
        <v>10</v>
      </c>
      <c r="CK133" s="63"/>
    </row>
    <row r="134" spans="1:89" s="148" customForma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20" t="s">
        <v>1194</v>
      </c>
      <c r="M134" s="33">
        <v>0</v>
      </c>
      <c r="N134" s="33">
        <v>176</v>
      </c>
      <c r="O134" s="33">
        <v>353</v>
      </c>
      <c r="P134" s="33">
        <v>721</v>
      </c>
      <c r="Q134" s="33">
        <v>1501</v>
      </c>
      <c r="R134" s="33">
        <v>3501</v>
      </c>
      <c r="S134" s="33">
        <v>7001</v>
      </c>
      <c r="T134" s="33">
        <v>10501</v>
      </c>
      <c r="U134" s="33">
        <v>21001</v>
      </c>
      <c r="V134" s="33">
        <v>48001</v>
      </c>
      <c r="W134" s="33">
        <v>78001</v>
      </c>
      <c r="X134" s="33">
        <v>108001</v>
      </c>
      <c r="Y134" s="34">
        <f>138001+MAX(0,SUMIFS(INDEX(választott_kasztok,,10),INDEX(választott_kasztok,,1),$L134)-13)*38000</f>
        <v>138001</v>
      </c>
      <c r="Z134" s="20">
        <v>5</v>
      </c>
      <c r="AA134" s="20">
        <v>20</v>
      </c>
      <c r="AB134" s="20">
        <v>75</v>
      </c>
      <c r="AC134" s="20">
        <v>0</v>
      </c>
      <c r="AD134" s="10">
        <f>MAX(9,SUMIFS(INDEX(választott_kasztok,,10),INDEX(választott_kasztok,,1),$L134)*9)</f>
        <v>9</v>
      </c>
      <c r="AE134" s="10">
        <f t="shared" ref="AE134:AF142" si="257">MAX(3,SUMIFS(INDEX(választott_kasztok,,10),INDEX(választott_kasztok,,1),$L134)*3)</f>
        <v>3</v>
      </c>
      <c r="AF134" s="10">
        <f t="shared" si="257"/>
        <v>3</v>
      </c>
      <c r="AG134" s="20">
        <f>IF(AND(többes_kaszt=iker_kaszt,váltás_kezdet=0,váltás_kezdet&lt;&gt;""),0,5)</f>
        <v>5</v>
      </c>
      <c r="AH134" s="10">
        <f>MAX(0,IF(választott_kaszt_1=$L134,IF(váltás_kezdet="",VLOOKUP($L134,választott_kasztok,10,FALSE)*5,MIN(VLOOKUP($L134,választott_kasztok,10,FALSE),váltás_kezdet)*5+IF(többes_kaszt=iker_kaszt,MAX(0,VLOOKUP($L134,választott_kasztok,10,FALSE)-váltás_kezdet),0)+IF(többes_kaszt=váltott_kaszt,MAX(0,váltás_kezdet-VLOOKUP($L134,választott_kasztok,10,FALSE))*5)),0)+IF(választott_kaszt_2=$L134,VLOOKUP($L134,választott_kasztok,10,FALSE)*IF(többes_kaszt=iker_kaszt,1,5),0))</f>
        <v>0</v>
      </c>
      <c r="AI134" s="20">
        <v>0</v>
      </c>
      <c r="AJ134" s="20">
        <v>8</v>
      </c>
      <c r="AK134" s="20">
        <v>7</v>
      </c>
      <c r="AL134" s="10">
        <f>MAX(1,SUMIFS(INDEX(választott_kasztok,,10),INDEX(választott_kasztok,,1),$L134))*(k6dobás+5)</f>
        <v>11</v>
      </c>
      <c r="AM134" s="10">
        <f>MAX(9,MIN(1,SUMIFS(INDEX(választott_kasztok,,10),INDEX(választott_kasztok,,1),$L134))*9+MAX(0,SUMIFS(INDEX(választott_kasztok,,10),INDEX(választott_kasztok,,1),$L134)-1)*(6+ROUNDUP(k6dobás/2,0)))</f>
        <v>9</v>
      </c>
      <c r="AN134" s="20" t="s">
        <v>107</v>
      </c>
      <c r="AO134" s="208"/>
      <c r="AP134" s="33">
        <v>0</v>
      </c>
      <c r="AQ134" s="56">
        <v>30</v>
      </c>
      <c r="AR134" s="56">
        <v>30</v>
      </c>
      <c r="AS134" s="56">
        <v>15</v>
      </c>
      <c r="AT134" s="56"/>
      <c r="AU134" s="56"/>
      <c r="AV134" s="56"/>
      <c r="AW134" s="56"/>
      <c r="AX134" s="56"/>
      <c r="AY134" s="56"/>
      <c r="AZ134" s="56"/>
      <c r="BA134" s="117">
        <f>138001+MAX(0,váltás_kezdet-13)*38000</f>
        <v>138001</v>
      </c>
      <c r="BB134" s="17">
        <f t="shared" si="246"/>
        <v>14</v>
      </c>
      <c r="BC134" s="17">
        <f t="shared" si="247"/>
        <v>11</v>
      </c>
      <c r="BD134" s="17">
        <f t="shared" si="248"/>
        <v>11</v>
      </c>
      <c r="BE134" s="17">
        <f t="shared" si="249"/>
        <v>14</v>
      </c>
      <c r="BF134" s="116">
        <f t="shared" si="250"/>
        <v>16</v>
      </c>
      <c r="BG134" s="17">
        <f t="shared" si="251"/>
        <v>14</v>
      </c>
      <c r="BH134" s="17">
        <f t="shared" si="252"/>
        <v>13</v>
      </c>
      <c r="BI134" s="17">
        <f t="shared" si="253"/>
        <v>14</v>
      </c>
      <c r="BJ134" s="17">
        <f t="shared" si="254"/>
        <v>16</v>
      </c>
      <c r="BK134" s="17">
        <f t="shared" si="255"/>
        <v>14</v>
      </c>
      <c r="BL134" s="17">
        <f>MAX(0,SUM(tulajdonságok)-SUM($BB134:$BK134))</f>
        <v>0</v>
      </c>
      <c r="BM134" s="13">
        <f t="shared" si="256"/>
        <v>0</v>
      </c>
      <c r="BN134" s="12"/>
      <c r="BO134" s="12"/>
      <c r="BP134" s="12"/>
      <c r="BQ134" s="12"/>
      <c r="BR134" s="12"/>
      <c r="BS134" s="12"/>
      <c r="BT134" s="12"/>
      <c r="BU134" s="12" t="s">
        <v>262</v>
      </c>
      <c r="BV134" s="12" t="s">
        <v>262</v>
      </c>
      <c r="BW134" s="51"/>
      <c r="BX134" s="12" t="s">
        <v>132</v>
      </c>
      <c r="BY134" s="12" t="s">
        <v>129</v>
      </c>
      <c r="BZ134" s="12" t="s">
        <v>129</v>
      </c>
      <c r="CA134" s="12" t="s">
        <v>132</v>
      </c>
      <c r="CB134" s="12" t="s">
        <v>135</v>
      </c>
      <c r="CC134" s="12" t="s">
        <v>132</v>
      </c>
      <c r="CD134" s="12" t="s">
        <v>131</v>
      </c>
      <c r="CE134" s="12" t="s">
        <v>132</v>
      </c>
      <c r="CF134" s="12" t="s">
        <v>134</v>
      </c>
      <c r="CG134" s="12" t="s">
        <v>132</v>
      </c>
      <c r="CH134" s="10">
        <v>3</v>
      </c>
      <c r="CI134" s="10">
        <v>6</v>
      </c>
      <c r="CK134" s="63"/>
    </row>
    <row r="135" spans="1:89" s="148" customForma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20" t="s">
        <v>333</v>
      </c>
      <c r="M135" s="34">
        <v>0</v>
      </c>
      <c r="N135" s="34">
        <v>161</v>
      </c>
      <c r="O135" s="34">
        <v>331</v>
      </c>
      <c r="P135" s="34">
        <v>661</v>
      </c>
      <c r="Q135" s="34">
        <v>1301</v>
      </c>
      <c r="R135" s="34">
        <v>2601</v>
      </c>
      <c r="S135" s="34">
        <v>5001</v>
      </c>
      <c r="T135" s="34">
        <v>9001</v>
      </c>
      <c r="U135" s="34">
        <v>23001</v>
      </c>
      <c r="V135" s="34">
        <v>50001</v>
      </c>
      <c r="W135" s="34">
        <v>90001</v>
      </c>
      <c r="X135" s="34">
        <v>130001</v>
      </c>
      <c r="Y135" s="34">
        <f>165001+MAX(0,SUMIFS(INDEX(választott_kasztok,,10),INDEX(választott_kasztok,,1),$L135)-13)*50000</f>
        <v>165001</v>
      </c>
      <c r="Z135" s="20">
        <v>5</v>
      </c>
      <c r="AA135" s="20">
        <v>20</v>
      </c>
      <c r="AB135" s="20">
        <v>75</v>
      </c>
      <c r="AC135" s="20">
        <v>0</v>
      </c>
      <c r="AD135" s="10">
        <f>MAX(10,SUMIFS(INDEX(választott_kasztok,,10),INDEX(választott_kasztok,,1),$L135)*10)</f>
        <v>10</v>
      </c>
      <c r="AE135" s="10">
        <f t="shared" si="257"/>
        <v>3</v>
      </c>
      <c r="AF135" s="10">
        <f t="shared" si="257"/>
        <v>3</v>
      </c>
      <c r="AG135" s="20">
        <f>IF(AND(többes_kaszt=iker_kaszt,váltás_kezdet=0,váltás_kezdet&lt;&gt;""),0,6)</f>
        <v>6</v>
      </c>
      <c r="AH135" s="10">
        <f>MAX(0,IF(választott_kaszt_1=$L135,IF(váltás_kezdet="",VLOOKUP($L135,választott_kasztok,10,FALSE)*10,MIN(VLOOKUP($L135,választott_kasztok,10,FALSE),váltás_kezdet)*10+IF(többes_kaszt=iker_kaszt,MAX(0,VLOOKUP($L135,választott_kasztok,10,FALSE)-váltás_kezdet),0)+IF(többes_kaszt=váltott_kaszt,MAX(0,váltás_kezdet-VLOOKUP($L135,választott_kasztok,10,FALSE))*10)),0)+IF(választott_kaszt_2=$L135,VLOOKUP($L135,választott_kasztok,10,FALSE)*IF(többes_kaszt=iker_kaszt,1,10),0))</f>
        <v>0</v>
      </c>
      <c r="AI135" s="20">
        <v>0</v>
      </c>
      <c r="AJ135" s="20">
        <v>6</v>
      </c>
      <c r="AK135" s="20">
        <v>6</v>
      </c>
      <c r="AL135" s="10">
        <f>MAX(1,SUMIFS(INDEX(választott_kasztok,,10),INDEX(választott_kasztok,,1),$L135))*(k6dobás+2)</f>
        <v>8</v>
      </c>
      <c r="AM135" s="10">
        <f>MAX(7,SUMIFS(INDEX(választott_kasztok,,10),INDEX(választott_kasztok,,1),$L135)*7)</f>
        <v>7</v>
      </c>
      <c r="AN135" s="20" t="s">
        <v>1183</v>
      </c>
      <c r="AO135" s="209"/>
      <c r="AP135" s="34">
        <v>0</v>
      </c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117">
        <f>165001+MAX(0,váltás_kezdet-13)*50000</f>
        <v>165001</v>
      </c>
      <c r="BB135" s="31">
        <f t="shared" si="246"/>
        <v>16</v>
      </c>
      <c r="BC135" s="31">
        <f t="shared" si="247"/>
        <v>11</v>
      </c>
      <c r="BD135" s="31">
        <f t="shared" si="248"/>
        <v>11</v>
      </c>
      <c r="BE135" s="31">
        <f t="shared" si="249"/>
        <v>13</v>
      </c>
      <c r="BF135" s="31">
        <f t="shared" si="250"/>
        <v>14</v>
      </c>
      <c r="BG135" s="116">
        <f t="shared" si="251"/>
        <v>16</v>
      </c>
      <c r="BH135" s="31">
        <f t="shared" si="252"/>
        <v>14</v>
      </c>
      <c r="BI135" s="31">
        <f t="shared" si="253"/>
        <v>14</v>
      </c>
      <c r="BJ135" s="31">
        <f t="shared" si="254"/>
        <v>16</v>
      </c>
      <c r="BK135" s="31">
        <f t="shared" si="255"/>
        <v>14</v>
      </c>
      <c r="BL135" s="31">
        <f t="shared" ref="BL135:BL153" si="258">MAX(0,SUM(tulajdonságok)-SUM($BB135:$BK135))</f>
        <v>0</v>
      </c>
      <c r="BM135" s="13">
        <f t="shared" si="256"/>
        <v>0</v>
      </c>
      <c r="BN135" s="12" t="s">
        <v>262</v>
      </c>
      <c r="BO135" s="12"/>
      <c r="BP135" s="12"/>
      <c r="BQ135" s="12"/>
      <c r="BR135" s="12"/>
      <c r="BS135" s="12"/>
      <c r="BT135" s="12"/>
      <c r="BU135" s="12" t="s">
        <v>262</v>
      </c>
      <c r="BV135" s="12" t="s">
        <v>262</v>
      </c>
      <c r="BW135" s="51"/>
      <c r="BX135" s="12" t="s">
        <v>134</v>
      </c>
      <c r="BY135" s="12" t="s">
        <v>129</v>
      </c>
      <c r="BZ135" s="12" t="s">
        <v>129</v>
      </c>
      <c r="CA135" s="12" t="s">
        <v>131</v>
      </c>
      <c r="CB135" s="12" t="s">
        <v>132</v>
      </c>
      <c r="CC135" s="12" t="s">
        <v>135</v>
      </c>
      <c r="CD135" s="12" t="s">
        <v>132</v>
      </c>
      <c r="CE135" s="12" t="s">
        <v>132</v>
      </c>
      <c r="CF135" s="12" t="s">
        <v>134</v>
      </c>
      <c r="CG135" s="12" t="s">
        <v>132</v>
      </c>
      <c r="CH135" s="10">
        <v>3</v>
      </c>
      <c r="CI135" s="10">
        <v>6</v>
      </c>
      <c r="CK135" s="63"/>
    </row>
    <row r="136" spans="1:89" s="148" customForma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261" t="s">
        <v>334</v>
      </c>
      <c r="M136" s="33">
        <v>0</v>
      </c>
      <c r="N136" s="33">
        <v>161</v>
      </c>
      <c r="O136" s="33">
        <v>321</v>
      </c>
      <c r="P136" s="33">
        <v>641</v>
      </c>
      <c r="Q136" s="33">
        <v>1441</v>
      </c>
      <c r="R136" s="34">
        <v>2801</v>
      </c>
      <c r="S136" s="33">
        <v>5601</v>
      </c>
      <c r="T136" s="33">
        <v>10001</v>
      </c>
      <c r="U136" s="33">
        <v>20001</v>
      </c>
      <c r="V136" s="33">
        <v>40001</v>
      </c>
      <c r="W136" s="33">
        <v>60001</v>
      </c>
      <c r="X136" s="33">
        <v>80001</v>
      </c>
      <c r="Y136" s="34">
        <f>112001+MAX(0,SUMIFS(INDEX(választott_kasztok,,10),INDEX(választott_kasztok,,1),$L136)-13)*31200</f>
        <v>112001</v>
      </c>
      <c r="Z136" s="10">
        <v>9</v>
      </c>
      <c r="AA136" s="10">
        <v>20</v>
      </c>
      <c r="AB136" s="10">
        <v>75</v>
      </c>
      <c r="AC136" s="10">
        <v>0</v>
      </c>
      <c r="AD136" s="10">
        <f>MAX(11,SUMIFS(INDEX(választott_kasztok,,10),INDEX(választott_kasztok,,1),$L136)*11)</f>
        <v>11</v>
      </c>
      <c r="AE136" s="10">
        <f t="shared" si="257"/>
        <v>3</v>
      </c>
      <c r="AF136" s="10">
        <f t="shared" si="257"/>
        <v>3</v>
      </c>
      <c r="AG136" s="20">
        <f>IF(AND(többes_kaszt=iker_kaszt,váltás_kezdet=0,váltás_kezdet&lt;&gt;""),0,5)</f>
        <v>5</v>
      </c>
      <c r="AH136" s="10">
        <f>MAX(0,IF(választott_kaszt_1=$L136,IF(váltás_kezdet="",VLOOKUP($L136,választott_kasztok,10,FALSE)*6,MIN(VLOOKUP($L136,választott_kasztok,10,FALSE),váltás_kezdet)*6+IF(többes_kaszt=iker_kaszt,MAX(0,VLOOKUP($L136,választott_kasztok,10,FALSE)-váltás_kezdet),0)+IF(többes_kaszt=váltott_kaszt,MAX(0,váltás_kezdet-VLOOKUP($L136,választott_kasztok,10,FALSE))*6)),0)+IF(választott_kaszt_2=$L136,VLOOKUP($L136,választott_kasztok,10,FALSE)*IF(többes_kaszt=iker_kaszt,1,6),0))</f>
        <v>0</v>
      </c>
      <c r="AI136" s="10">
        <f>MAX(20,IF(AND(többes_kaszt=váltott_kaszt,választott_kaszt_1=$L136),váltás_kezdet*20,SUMIFS(INDEX(választott_kasztok,,10),INDEX(választott_kasztok,,1),$L136)*20))</f>
        <v>20</v>
      </c>
      <c r="AJ136" s="10">
        <v>7</v>
      </c>
      <c r="AK136" s="10">
        <v>6</v>
      </c>
      <c r="AL136" s="10">
        <f>MAX(1,SUMIFS(INDEX(választott_kasztok,,10),INDEX(választott_kasztok,,1),$L136))*(k6dobás+4)</f>
        <v>10</v>
      </c>
      <c r="AM136" s="10"/>
      <c r="AN136" s="20" t="s">
        <v>1183</v>
      </c>
      <c r="AO136" s="209" t="str">
        <f>IF(tanultMfkaszt=0,"00",IF(INDEX(választott_kasztok,tanultMfkaszt,1)=$L136,TEXT(tanultMfTSZ,"00"),"00"))&amp;"0101"</f>
        <v>000101</v>
      </c>
      <c r="AP136" s="33">
        <v>0</v>
      </c>
      <c r="AQ136" s="56">
        <v>35</v>
      </c>
      <c r="AR136" s="56">
        <v>25</v>
      </c>
      <c r="AS136" s="56">
        <v>25</v>
      </c>
      <c r="AT136" s="56">
        <v>35</v>
      </c>
      <c r="AU136" s="56">
        <v>35</v>
      </c>
      <c r="AV136" s="56"/>
      <c r="AW136" s="56"/>
      <c r="AX136" s="56"/>
      <c r="AY136" s="56"/>
      <c r="AZ136" s="56"/>
      <c r="BA136" s="117">
        <f>112001+MAX(0,váltás_kezdet-13)*31200</f>
        <v>112001</v>
      </c>
      <c r="BB136" s="17">
        <f t="shared" si="246"/>
        <v>16</v>
      </c>
      <c r="BC136" s="17">
        <f t="shared" si="247"/>
        <v>13</v>
      </c>
      <c r="BD136" s="17">
        <f t="shared" si="248"/>
        <v>13</v>
      </c>
      <c r="BE136" s="17">
        <f t="shared" si="249"/>
        <v>14</v>
      </c>
      <c r="BF136" s="116">
        <f t="shared" si="250"/>
        <v>16</v>
      </c>
      <c r="BG136" s="17">
        <f t="shared" si="251"/>
        <v>11</v>
      </c>
      <c r="BH136" s="17">
        <f t="shared" si="252"/>
        <v>11</v>
      </c>
      <c r="BI136" s="17">
        <f t="shared" si="253"/>
        <v>13</v>
      </c>
      <c r="BJ136" s="17">
        <f t="shared" si="254"/>
        <v>11</v>
      </c>
      <c r="BK136" s="17">
        <f t="shared" si="255"/>
        <v>13</v>
      </c>
      <c r="BL136" s="17">
        <f t="shared" si="258"/>
        <v>0</v>
      </c>
      <c r="BM136" s="13">
        <f t="shared" si="256"/>
        <v>0</v>
      </c>
      <c r="BN136" s="12" t="s">
        <v>262</v>
      </c>
      <c r="BO136" s="12" t="s">
        <v>262</v>
      </c>
      <c r="BP136" s="12" t="s">
        <v>262</v>
      </c>
      <c r="BQ136" s="12" t="s">
        <v>262</v>
      </c>
      <c r="BR136" s="12"/>
      <c r="BS136" s="12"/>
      <c r="BT136" s="12"/>
      <c r="BU136" s="12"/>
      <c r="BV136" s="12"/>
      <c r="BW136" s="51"/>
      <c r="BX136" s="12" t="s">
        <v>134</v>
      </c>
      <c r="BY136" s="12" t="s">
        <v>131</v>
      </c>
      <c r="BZ136" s="12" t="s">
        <v>131</v>
      </c>
      <c r="CA136" s="12" t="s">
        <v>132</v>
      </c>
      <c r="CB136" s="12" t="s">
        <v>135</v>
      </c>
      <c r="CC136" s="12" t="s">
        <v>129</v>
      </c>
      <c r="CD136" s="12" t="s">
        <v>129</v>
      </c>
      <c r="CE136" s="12" t="s">
        <v>131</v>
      </c>
      <c r="CF136" s="12" t="s">
        <v>129</v>
      </c>
      <c r="CG136" s="12" t="s">
        <v>131</v>
      </c>
      <c r="CH136" s="10">
        <v>3</v>
      </c>
      <c r="CI136" s="10">
        <v>18</v>
      </c>
      <c r="CK136" s="63"/>
    </row>
    <row r="137" spans="1:89" s="148" customForma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261" t="s">
        <v>335</v>
      </c>
      <c r="M137" s="33">
        <v>0</v>
      </c>
      <c r="N137" s="33">
        <v>161</v>
      </c>
      <c r="O137" s="33">
        <v>321</v>
      </c>
      <c r="P137" s="33">
        <v>641</v>
      </c>
      <c r="Q137" s="33">
        <v>1441</v>
      </c>
      <c r="R137" s="34">
        <v>2801</v>
      </c>
      <c r="S137" s="33">
        <v>5601</v>
      </c>
      <c r="T137" s="33">
        <v>10001</v>
      </c>
      <c r="U137" s="33">
        <v>20001</v>
      </c>
      <c r="V137" s="33">
        <v>40001</v>
      </c>
      <c r="W137" s="33">
        <v>60001</v>
      </c>
      <c r="X137" s="33">
        <v>80001</v>
      </c>
      <c r="Y137" s="34">
        <f>112001+MAX(0,SUMIFS(INDEX(választott_kasztok,,10),INDEX(választott_kasztok,,1),$L137)-13)*31200</f>
        <v>112001</v>
      </c>
      <c r="Z137" s="10">
        <v>9</v>
      </c>
      <c r="AA137" s="10">
        <v>20</v>
      </c>
      <c r="AB137" s="10">
        <v>75</v>
      </c>
      <c r="AC137" s="10">
        <v>0</v>
      </c>
      <c r="AD137" s="10">
        <f>MAX(11,SUMIFS(INDEX(választott_kasztok,,10),INDEX(választott_kasztok,,1),$L137)*11)</f>
        <v>11</v>
      </c>
      <c r="AE137" s="10">
        <f t="shared" si="257"/>
        <v>3</v>
      </c>
      <c r="AF137" s="10">
        <f t="shared" si="257"/>
        <v>3</v>
      </c>
      <c r="AG137" s="20">
        <f>IF(AND(többes_kaszt=iker_kaszt,váltás_kezdet=0,váltás_kezdet&lt;&gt;""),0,10)</f>
        <v>10</v>
      </c>
      <c r="AH137" s="10">
        <f>MAX(0,IF(választott_kaszt_1=$L137,IF(váltás_kezdet="",VLOOKUP($L137,választott_kasztok,10,FALSE)*10,MIN(VLOOKUP($L137,választott_kasztok,10,FALSE),váltás_kezdet)*10+IF(többes_kaszt=iker_kaszt,MAX(0,VLOOKUP($L137,választott_kasztok,10,FALSE)-váltás_kezdet),0)+IF(többes_kaszt=váltott_kaszt,MAX(0,váltás_kezdet-VLOOKUP($L137,választott_kasztok,10,FALSE))*10)),0)+IF(választott_kaszt_2=$L137,VLOOKUP($L137,választott_kasztok,10,FALSE)*IF(többes_kaszt=iker_kaszt,1,10),0))</f>
        <v>0</v>
      </c>
      <c r="AI137" s="10">
        <v>0</v>
      </c>
      <c r="AJ137" s="10">
        <v>7</v>
      </c>
      <c r="AK137" s="10">
        <v>6</v>
      </c>
      <c r="AL137" s="10">
        <f>MAX(1,SUMIFS(INDEX(választott_kasztok,,10),INDEX(választott_kasztok,,1),$L137))*(k6dobás+4)</f>
        <v>10</v>
      </c>
      <c r="AM137" s="10"/>
      <c r="AN137" s="20" t="str">
        <f>IF(OR(tanultAfTSZ&gt;0,tanultMfTSZ&gt;0),pyarroni,nincsen)</f>
        <v>nincs</v>
      </c>
      <c r="AO137" s="208" t="str">
        <f>IF(tanultMfkaszt=0,"00",IF(INDEX(választott_kasztok,tanultMfkaszt,1)=$L137,TEXT(tanultMfTSZ,"00"),"00"))&amp;IF(tanultAfkaszt=0,"00",IF(INDEX(választott_kasztok,tanultAfkaszt,1)=$L137,TEXT(tanultAfTSZ,"00"),"00"))&amp;"01"</f>
        <v>000001</v>
      </c>
      <c r="AP137" s="33">
        <v>0</v>
      </c>
      <c r="AQ137" s="56"/>
      <c r="AR137" s="56"/>
      <c r="AS137" s="56">
        <v>20</v>
      </c>
      <c r="AT137" s="56"/>
      <c r="AU137" s="56"/>
      <c r="AV137" s="56"/>
      <c r="AW137" s="56"/>
      <c r="AX137" s="56"/>
      <c r="AY137" s="56"/>
      <c r="AZ137" s="56"/>
      <c r="BA137" s="117">
        <f>112001+MAX(0,váltás_kezdet-13)*31200</f>
        <v>112001</v>
      </c>
      <c r="BB137" s="17">
        <f t="shared" si="246"/>
        <v>16</v>
      </c>
      <c r="BC137" s="17">
        <f t="shared" si="247"/>
        <v>13</v>
      </c>
      <c r="BD137" s="17">
        <f t="shared" si="248"/>
        <v>13</v>
      </c>
      <c r="BE137" s="17">
        <f t="shared" si="249"/>
        <v>14</v>
      </c>
      <c r="BF137" s="116">
        <f t="shared" si="250"/>
        <v>16</v>
      </c>
      <c r="BG137" s="17">
        <f t="shared" si="251"/>
        <v>11</v>
      </c>
      <c r="BH137" s="17">
        <f t="shared" si="252"/>
        <v>11</v>
      </c>
      <c r="BI137" s="17">
        <f t="shared" si="253"/>
        <v>13</v>
      </c>
      <c r="BJ137" s="17">
        <f t="shared" si="254"/>
        <v>11</v>
      </c>
      <c r="BK137" s="17">
        <f t="shared" si="255"/>
        <v>13</v>
      </c>
      <c r="BL137" s="17">
        <f t="shared" si="258"/>
        <v>0</v>
      </c>
      <c r="BM137" s="13">
        <f t="shared" si="256"/>
        <v>0</v>
      </c>
      <c r="BN137" s="12" t="s">
        <v>262</v>
      </c>
      <c r="BO137" s="12" t="s">
        <v>262</v>
      </c>
      <c r="BP137" s="12" t="s">
        <v>262</v>
      </c>
      <c r="BQ137" s="12" t="s">
        <v>262</v>
      </c>
      <c r="BR137" s="12"/>
      <c r="BS137" s="12"/>
      <c r="BT137" s="12"/>
      <c r="BU137" s="12"/>
      <c r="BV137" s="12"/>
      <c r="BW137" s="51"/>
      <c r="BX137" s="12" t="s">
        <v>134</v>
      </c>
      <c r="BY137" s="12" t="s">
        <v>131</v>
      </c>
      <c r="BZ137" s="12" t="s">
        <v>131</v>
      </c>
      <c r="CA137" s="12" t="s">
        <v>132</v>
      </c>
      <c r="CB137" s="12" t="s">
        <v>135</v>
      </c>
      <c r="CC137" s="12" t="s">
        <v>129</v>
      </c>
      <c r="CD137" s="12" t="s">
        <v>129</v>
      </c>
      <c r="CE137" s="12" t="s">
        <v>131</v>
      </c>
      <c r="CF137" s="12" t="s">
        <v>129</v>
      </c>
      <c r="CG137" s="12" t="s">
        <v>131</v>
      </c>
      <c r="CH137" s="10">
        <v>3</v>
      </c>
      <c r="CI137" s="10">
        <v>18</v>
      </c>
      <c r="CK137" s="63"/>
    </row>
    <row r="138" spans="1:89" s="148" customForma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261" t="s">
        <v>368</v>
      </c>
      <c r="M138" s="33">
        <v>0</v>
      </c>
      <c r="N138" s="33">
        <v>161</v>
      </c>
      <c r="O138" s="33">
        <v>321</v>
      </c>
      <c r="P138" s="33">
        <v>641</v>
      </c>
      <c r="Q138" s="33">
        <v>1441</v>
      </c>
      <c r="R138" s="34">
        <v>2801</v>
      </c>
      <c r="S138" s="33">
        <v>5601</v>
      </c>
      <c r="T138" s="33">
        <v>10001</v>
      </c>
      <c r="U138" s="33">
        <v>20001</v>
      </c>
      <c r="V138" s="33">
        <v>40001</v>
      </c>
      <c r="W138" s="33">
        <v>60001</v>
      </c>
      <c r="X138" s="33">
        <v>80001</v>
      </c>
      <c r="Y138" s="34">
        <f>112001+MAX(0,SUMIFS(INDEX(választott_kasztok,,10),INDEX(választott_kasztok,,1),$L138)-13)*31200</f>
        <v>112001</v>
      </c>
      <c r="Z138" s="10">
        <v>9</v>
      </c>
      <c r="AA138" s="10">
        <v>20</v>
      </c>
      <c r="AB138" s="10">
        <v>75</v>
      </c>
      <c r="AC138" s="10">
        <v>0</v>
      </c>
      <c r="AD138" s="10">
        <f>MAX(11,SUMIFS(INDEX(választott_kasztok,,10),INDEX(választott_kasztok,,1),$L138)*11)</f>
        <v>11</v>
      </c>
      <c r="AE138" s="10">
        <f t="shared" si="257"/>
        <v>3</v>
      </c>
      <c r="AF138" s="10">
        <f t="shared" si="257"/>
        <v>3</v>
      </c>
      <c r="AG138" s="20">
        <f>IF(AND(többes_kaszt=iker_kaszt,váltás_kezdet=0,váltás_kezdet&lt;&gt;""),0,3)</f>
        <v>3</v>
      </c>
      <c r="AH138" s="10">
        <f>MAX(0,IF(választott_kaszt_1=$L138,IF(váltás_kezdet="",VLOOKUP($L138,választott_kasztok,10,FALSE)*14,MIN(VLOOKUP($L138,választott_kasztok,10,FALSE),váltás_kezdet)*14+IF(többes_kaszt=iker_kaszt,MAX(0,VLOOKUP($L138,választott_kasztok,10,FALSE)-váltás_kezdet),0)+IF(többes_kaszt=váltott_kaszt,MAX(0,váltás_kezdet-VLOOKUP($L138,választott_kasztok,10,FALSE))*14)),0)+IF(választott_kaszt_2=$L138,VLOOKUP($L138,választott_kasztok,10,FALSE)*IF(többes_kaszt=iker_kaszt,1,14),0))</f>
        <v>0</v>
      </c>
      <c r="AI138" s="10">
        <v>0</v>
      </c>
      <c r="AJ138" s="10">
        <v>7</v>
      </c>
      <c r="AK138" s="10">
        <v>6</v>
      </c>
      <c r="AL138" s="10">
        <f>MAX(1,SUMIFS(INDEX(választott_kasztok,,10),INDEX(választott_kasztok,,1),$L138))*(k6dobás+4)</f>
        <v>10</v>
      </c>
      <c r="AM138" s="10"/>
      <c r="AN138" s="20" t="str">
        <f>IF(OR(tanultAfTSZ&gt;0,tanultMfTSZ&gt;0),pyarroni,nincsen)</f>
        <v>nincs</v>
      </c>
      <c r="AO138" s="208" t="str">
        <f>IF(tanultMfkaszt=0,"00",IF(INDEX(választott_kasztok,tanultMfkaszt,1)=$L138,TEXT(tanultMfTSZ,"00"),"00"))&amp;IF(tanultAfkaszt=0,"00",IF(INDEX(választott_kasztok,tanultAfkaszt,1)=$L138,TEXT(tanultAfTSZ,"00"),"00"))&amp;"01"</f>
        <v>000001</v>
      </c>
      <c r="AP138" s="33">
        <v>0</v>
      </c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117">
        <f>112001+MAX(0,váltás_kezdet-13)*31200</f>
        <v>112001</v>
      </c>
      <c r="BB138" s="17">
        <f t="shared" si="246"/>
        <v>16</v>
      </c>
      <c r="BC138" s="17">
        <f t="shared" si="247"/>
        <v>13</v>
      </c>
      <c r="BD138" s="17">
        <f t="shared" si="248"/>
        <v>13</v>
      </c>
      <c r="BE138" s="17">
        <f t="shared" si="249"/>
        <v>14</v>
      </c>
      <c r="BF138" s="116">
        <f t="shared" si="250"/>
        <v>16</v>
      </c>
      <c r="BG138" s="17">
        <f t="shared" si="251"/>
        <v>11</v>
      </c>
      <c r="BH138" s="17">
        <f t="shared" si="252"/>
        <v>11</v>
      </c>
      <c r="BI138" s="17">
        <f t="shared" si="253"/>
        <v>13</v>
      </c>
      <c r="BJ138" s="17">
        <f t="shared" si="254"/>
        <v>11</v>
      </c>
      <c r="BK138" s="17">
        <f t="shared" si="255"/>
        <v>13</v>
      </c>
      <c r="BL138" s="17">
        <f t="shared" si="258"/>
        <v>0</v>
      </c>
      <c r="BM138" s="13">
        <f t="shared" si="256"/>
        <v>0</v>
      </c>
      <c r="BN138" s="12" t="s">
        <v>262</v>
      </c>
      <c r="BO138" s="12" t="s">
        <v>262</v>
      </c>
      <c r="BP138" s="12" t="s">
        <v>262</v>
      </c>
      <c r="BQ138" s="12" t="s">
        <v>262</v>
      </c>
      <c r="BR138" s="12"/>
      <c r="BS138" s="12"/>
      <c r="BT138" s="12"/>
      <c r="BU138" s="12"/>
      <c r="BV138" s="12"/>
      <c r="BW138" s="51"/>
      <c r="BX138" s="12" t="s">
        <v>134</v>
      </c>
      <c r="BY138" s="12" t="s">
        <v>131</v>
      </c>
      <c r="BZ138" s="12" t="s">
        <v>131</v>
      </c>
      <c r="CA138" s="12" t="s">
        <v>132</v>
      </c>
      <c r="CB138" s="12" t="s">
        <v>135</v>
      </c>
      <c r="CC138" s="12" t="s">
        <v>129</v>
      </c>
      <c r="CD138" s="12" t="s">
        <v>129</v>
      </c>
      <c r="CE138" s="12" t="s">
        <v>131</v>
      </c>
      <c r="CF138" s="12" t="s">
        <v>129</v>
      </c>
      <c r="CG138" s="12" t="s">
        <v>131</v>
      </c>
      <c r="CH138" s="10">
        <v>3</v>
      </c>
      <c r="CI138" s="10">
        <v>18</v>
      </c>
      <c r="CK138" s="63"/>
    </row>
    <row r="139" spans="1:89" s="148" customForma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 t="s">
        <v>1263</v>
      </c>
      <c r="M139" s="33">
        <v>0</v>
      </c>
      <c r="N139" s="33">
        <v>171</v>
      </c>
      <c r="O139" s="33">
        <v>351</v>
      </c>
      <c r="P139" s="33">
        <v>701</v>
      </c>
      <c r="Q139" s="33">
        <v>1501</v>
      </c>
      <c r="R139" s="33">
        <v>3001</v>
      </c>
      <c r="S139" s="33">
        <v>7001</v>
      </c>
      <c r="T139" s="33">
        <v>12001</v>
      </c>
      <c r="U139" s="33">
        <v>22001</v>
      </c>
      <c r="V139" s="33">
        <v>52501</v>
      </c>
      <c r="W139" s="33">
        <v>85501</v>
      </c>
      <c r="X139" s="33">
        <v>135001</v>
      </c>
      <c r="Y139" s="34">
        <f>175501+MAX(0,SUMIFS(INDEX(választott_kasztok,,10),INDEX(választott_kasztok,,1),$L139)-13)*58500</f>
        <v>175501</v>
      </c>
      <c r="Z139" s="20">
        <v>6</v>
      </c>
      <c r="AA139" s="20">
        <v>17</v>
      </c>
      <c r="AB139" s="20">
        <v>72</v>
      </c>
      <c r="AC139" s="20">
        <v>0</v>
      </c>
      <c r="AD139" s="10">
        <f>MAX(8,SUMIFS(INDEX(választott_kasztok,,10),INDEX(választott_kasztok,,1),$L139)*8)</f>
        <v>8</v>
      </c>
      <c r="AE139" s="10">
        <f t="shared" si="257"/>
        <v>3</v>
      </c>
      <c r="AF139" s="10">
        <f t="shared" si="257"/>
        <v>3</v>
      </c>
      <c r="AG139" s="20">
        <f>IF(AND(többes_kaszt=iker_kaszt,váltás_kezdet=0,váltás_kezdet&lt;&gt;""),0,6)</f>
        <v>6</v>
      </c>
      <c r="AH139" s="10">
        <f>MAX(0,IF(választott_kaszt_1=$L139,IF(váltás_kezdet="",VLOOKUP($L139,választott_kasztok,10,FALSE)*10,MIN(VLOOKUP($L139,választott_kasztok,10,FALSE),váltás_kezdet)*10+IF(többes_kaszt=iker_kaszt,MAX(0,VLOOKUP($L139,választott_kasztok,10,FALSE)-váltás_kezdet),0)+IF(többes_kaszt=váltott_kaszt,MAX(0,váltás_kezdet-VLOOKUP($L139,választott_kasztok,10,FALSE))*10)),0)+IF(választott_kaszt_2=$L139,VLOOKUP($L139,választott_kasztok,10,FALSE)*IF(többes_kaszt=iker_kaszt,1,10),0))</f>
        <v>0</v>
      </c>
      <c r="AI139" s="20">
        <v>0</v>
      </c>
      <c r="AJ139" s="20">
        <v>5</v>
      </c>
      <c r="AK139" s="20">
        <v>4</v>
      </c>
      <c r="AL139" s="10">
        <f>MAX(1,SUMIFS(INDEX(választott_kasztok,,10),INDEX(választott_kasztok,,1),$L139))*(k6dobás+1)</f>
        <v>7</v>
      </c>
      <c r="AM139" s="10">
        <f>MAX(9,MIN(1,SUMIFS(INDEX(választott_kasztok,,10),INDEX(választott_kasztok,,1),$L139))*9+MAX(0,SUMIFS(INDEX(választott_kasztok,,10),INDEX(választott_kasztok,,1),$L139)-1)*(6+ROUNDUP(k6dobás/2,0)))</f>
        <v>9</v>
      </c>
      <c r="AN139" s="20" t="s">
        <v>1183</v>
      </c>
      <c r="AO139" s="209"/>
      <c r="AP139" s="33">
        <v>0</v>
      </c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117">
        <f>175501+MAX(0,váltás_kezdet-13)*58500</f>
        <v>175501</v>
      </c>
      <c r="BB139" s="17">
        <f t="shared" si="246"/>
        <v>13</v>
      </c>
      <c r="BC139" s="17">
        <f t="shared" si="247"/>
        <v>11</v>
      </c>
      <c r="BD139" s="17">
        <f t="shared" si="248"/>
        <v>11</v>
      </c>
      <c r="BE139" s="17">
        <f t="shared" si="249"/>
        <v>13</v>
      </c>
      <c r="BF139" s="17">
        <f t="shared" si="250"/>
        <v>13</v>
      </c>
      <c r="BG139" s="17">
        <f t="shared" si="251"/>
        <v>10</v>
      </c>
      <c r="BH139" s="17">
        <f t="shared" si="252"/>
        <v>13</v>
      </c>
      <c r="BI139" s="17">
        <f t="shared" si="253"/>
        <v>13</v>
      </c>
      <c r="BJ139" s="17">
        <f t="shared" si="254"/>
        <v>13</v>
      </c>
      <c r="BK139" s="17">
        <f t="shared" si="255"/>
        <v>13</v>
      </c>
      <c r="BL139" s="17">
        <f t="shared" si="258"/>
        <v>0</v>
      </c>
      <c r="BM139" s="13">
        <f t="shared" si="256"/>
        <v>0</v>
      </c>
      <c r="BN139" s="12"/>
      <c r="BO139" s="12"/>
      <c r="BP139" s="12"/>
      <c r="BQ139" s="12"/>
      <c r="BR139" s="12"/>
      <c r="BS139" s="12"/>
      <c r="BT139" s="12"/>
      <c r="BU139" s="12" t="s">
        <v>262</v>
      </c>
      <c r="BV139" s="12" t="s">
        <v>262</v>
      </c>
      <c r="BW139" s="51"/>
      <c r="BX139" s="12" t="s">
        <v>131</v>
      </c>
      <c r="BY139" s="12" t="s">
        <v>129</v>
      </c>
      <c r="BZ139" s="12" t="s">
        <v>129</v>
      </c>
      <c r="CA139" s="12" t="s">
        <v>131</v>
      </c>
      <c r="CB139" s="12" t="s">
        <v>131</v>
      </c>
      <c r="CC139" s="12" t="s">
        <v>128</v>
      </c>
      <c r="CD139" s="12" t="s">
        <v>131</v>
      </c>
      <c r="CE139" s="12" t="s">
        <v>131</v>
      </c>
      <c r="CF139" s="12" t="s">
        <v>131</v>
      </c>
      <c r="CG139" s="12" t="s">
        <v>131</v>
      </c>
      <c r="CH139" s="10">
        <v>3</v>
      </c>
      <c r="CI139" s="10">
        <v>6</v>
      </c>
      <c r="CK139" s="63"/>
    </row>
    <row r="140" spans="1:89" s="148" customForma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 t="s">
        <v>44</v>
      </c>
      <c r="M140" s="33">
        <v>0</v>
      </c>
      <c r="N140" s="33">
        <v>171</v>
      </c>
      <c r="O140" s="33">
        <v>351</v>
      </c>
      <c r="P140" s="33">
        <v>701</v>
      </c>
      <c r="Q140" s="33">
        <v>1501</v>
      </c>
      <c r="R140" s="33">
        <v>3001</v>
      </c>
      <c r="S140" s="33">
        <v>7001</v>
      </c>
      <c r="T140" s="33">
        <v>12001</v>
      </c>
      <c r="U140" s="33">
        <v>22001</v>
      </c>
      <c r="V140" s="33">
        <v>52501</v>
      </c>
      <c r="W140" s="33">
        <v>85501</v>
      </c>
      <c r="X140" s="33">
        <v>135001</v>
      </c>
      <c r="Y140" s="34">
        <f>175501+MAX(0,SUMIFS(INDEX(választott_kasztok,,10),INDEX(választott_kasztok,,1),$L140)-13)*58500</f>
        <v>175501</v>
      </c>
      <c r="Z140" s="20">
        <v>6</v>
      </c>
      <c r="AA140" s="20">
        <v>17</v>
      </c>
      <c r="AB140" s="20">
        <v>72</v>
      </c>
      <c r="AC140" s="20">
        <v>0</v>
      </c>
      <c r="AD140" s="10">
        <f>MAX(8,SUMIFS(INDEX(választott_kasztok,,10),INDEX(választott_kasztok,,1),$L140)*8)</f>
        <v>8</v>
      </c>
      <c r="AE140" s="10">
        <f t="shared" si="257"/>
        <v>3</v>
      </c>
      <c r="AF140" s="10">
        <f t="shared" si="257"/>
        <v>3</v>
      </c>
      <c r="AG140" s="20">
        <f>IF(AND(többes_kaszt=iker_kaszt,váltás_kezdet=0,váltás_kezdet&lt;&gt;""),0,3)</f>
        <v>3</v>
      </c>
      <c r="AH140" s="10">
        <f>MAX(0,IF(választott_kaszt_1=$L140,IF(váltás_kezdet="",VLOOKUP($L140,választott_kasztok,10,FALSE)*5,MIN(VLOOKUP($L140,választott_kasztok,10,FALSE),váltás_kezdet)*5+IF(többes_kaszt=iker_kaszt,MAX(0,VLOOKUP($L140,választott_kasztok,10,FALSE)-váltás_kezdet),0)+IF(többes_kaszt=váltott_kaszt,MAX(0,váltás_kezdet-VLOOKUP($L140,választott_kasztok,10,FALSE))*5)),0)+IF(választott_kaszt_2=$L140,VLOOKUP($L140,választott_kasztok,10,FALSE)*IF(többes_kaszt=iker_kaszt,1,5),0))</f>
        <v>0</v>
      </c>
      <c r="AI140" s="20">
        <v>0</v>
      </c>
      <c r="AJ140" s="20">
        <v>5</v>
      </c>
      <c r="AK140" s="20">
        <v>4</v>
      </c>
      <c r="AL140" s="10">
        <f>MAX(1,SUMIFS(INDEX(választott_kasztok,,10),INDEX(választott_kasztok,,1),$L140))*(k6dobás+1)</f>
        <v>7</v>
      </c>
      <c r="AM140" s="10">
        <f>MAX(6,SUMIFS(INDEX(választott_kasztok,,10),INDEX(választott_kasztok,,1),$L140)*6)</f>
        <v>6</v>
      </c>
      <c r="AN140" s="20" t="s">
        <v>1183</v>
      </c>
      <c r="AO140" s="209"/>
      <c r="AP140" s="33">
        <v>0</v>
      </c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117">
        <f>175501+MAX(0,váltás_kezdet-13)*58500</f>
        <v>175501</v>
      </c>
      <c r="BB140" s="17">
        <f t="shared" si="246"/>
        <v>13</v>
      </c>
      <c r="BC140" s="17">
        <f t="shared" si="247"/>
        <v>11</v>
      </c>
      <c r="BD140" s="17">
        <f t="shared" si="248"/>
        <v>11</v>
      </c>
      <c r="BE140" s="17">
        <f t="shared" si="249"/>
        <v>13</v>
      </c>
      <c r="BF140" s="17">
        <f t="shared" si="250"/>
        <v>13</v>
      </c>
      <c r="BG140" s="17">
        <f t="shared" si="251"/>
        <v>10</v>
      </c>
      <c r="BH140" s="17">
        <f t="shared" si="252"/>
        <v>13</v>
      </c>
      <c r="BI140" s="17">
        <f t="shared" si="253"/>
        <v>13</v>
      </c>
      <c r="BJ140" s="17">
        <f t="shared" si="254"/>
        <v>13</v>
      </c>
      <c r="BK140" s="17">
        <f t="shared" si="255"/>
        <v>13</v>
      </c>
      <c r="BL140" s="17">
        <f t="shared" si="258"/>
        <v>0</v>
      </c>
      <c r="BM140" s="13">
        <f t="shared" si="256"/>
        <v>0</v>
      </c>
      <c r="BN140" s="12"/>
      <c r="BO140" s="12"/>
      <c r="BP140" s="12"/>
      <c r="BQ140" s="12"/>
      <c r="BR140" s="12"/>
      <c r="BS140" s="12"/>
      <c r="BT140" s="12"/>
      <c r="BU140" s="12"/>
      <c r="BV140" s="12"/>
      <c r="BW140" s="51"/>
      <c r="BX140" s="12" t="s">
        <v>131</v>
      </c>
      <c r="BY140" s="12" t="s">
        <v>129</v>
      </c>
      <c r="BZ140" s="12" t="s">
        <v>129</v>
      </c>
      <c r="CA140" s="12" t="s">
        <v>131</v>
      </c>
      <c r="CB140" s="12" t="s">
        <v>131</v>
      </c>
      <c r="CC140" s="12" t="s">
        <v>128</v>
      </c>
      <c r="CD140" s="12" t="s">
        <v>131</v>
      </c>
      <c r="CE140" s="12" t="s">
        <v>131</v>
      </c>
      <c r="CF140" s="12" t="s">
        <v>131</v>
      </c>
      <c r="CG140" s="12" t="s">
        <v>131</v>
      </c>
      <c r="CH140" s="20">
        <v>1</v>
      </c>
      <c r="CI140" s="10">
        <v>18</v>
      </c>
      <c r="CK140" s="63"/>
    </row>
    <row r="141" spans="1:89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20" t="s">
        <v>1011</v>
      </c>
      <c r="M141" s="34">
        <v>0</v>
      </c>
      <c r="N141" s="34">
        <v>176</v>
      </c>
      <c r="O141" s="34">
        <v>353</v>
      </c>
      <c r="P141" s="34">
        <v>721</v>
      </c>
      <c r="Q141" s="34">
        <v>1501</v>
      </c>
      <c r="R141" s="34">
        <v>3501</v>
      </c>
      <c r="S141" s="34">
        <v>7001</v>
      </c>
      <c r="T141" s="34">
        <v>10501</v>
      </c>
      <c r="U141" s="34">
        <v>21001</v>
      </c>
      <c r="V141" s="34">
        <v>48001</v>
      </c>
      <c r="W141" s="34">
        <v>78001</v>
      </c>
      <c r="X141" s="34">
        <v>108001</v>
      </c>
      <c r="Y141" s="34">
        <f>138001+MAX(0,SUMIFS(INDEX(választott_kasztok,,10),INDEX(választott_kasztok,,1),$L141)-13)*38000</f>
        <v>138001</v>
      </c>
      <c r="Z141" s="20">
        <v>5</v>
      </c>
      <c r="AA141" s="20">
        <v>20</v>
      </c>
      <c r="AB141" s="20">
        <v>75</v>
      </c>
      <c r="AC141" s="20">
        <v>0</v>
      </c>
      <c r="AD141" s="10">
        <f>MAX(9,SUMIFS(INDEX(választott_kasztok,,10),INDEX(választott_kasztok,,1),$L141)*9)</f>
        <v>9</v>
      </c>
      <c r="AE141" s="10">
        <f t="shared" si="257"/>
        <v>3</v>
      </c>
      <c r="AF141" s="10">
        <f t="shared" si="257"/>
        <v>3</v>
      </c>
      <c r="AG141" s="20">
        <f>IF(AND(többes_kaszt=iker_kaszt,váltás_kezdet=0,váltás_kezdet&lt;&gt;""),0,5)</f>
        <v>5</v>
      </c>
      <c r="AH141" s="10">
        <f>MAX(0,IF(választott_kaszt_1=$L141,IF(váltás_kezdet="",VLOOKUP($L141,választott_kasztok,10,FALSE)*5,MIN(VLOOKUP($L141,választott_kasztok,10,FALSE),váltás_kezdet)*5+IF(többes_kaszt=iker_kaszt,MAX(0,VLOOKUP($L141,választott_kasztok,10,FALSE)-váltás_kezdet),0)+IF(többes_kaszt=váltott_kaszt,MAX(0,váltás_kezdet-VLOOKUP($L141,választott_kasztok,10,FALSE))*5)),0)+IF(választott_kaszt_2=$L141,VLOOKUP($L141,választott_kasztok,10,FALSE)*IF(többes_kaszt=iker_kaszt,1,5),0))</f>
        <v>0</v>
      </c>
      <c r="AI141" s="20">
        <v>0</v>
      </c>
      <c r="AJ141" s="20">
        <v>8</v>
      </c>
      <c r="AK141" s="20">
        <v>7</v>
      </c>
      <c r="AL141" s="10">
        <f>MAX(1,SUMIFS(INDEX(választott_kasztok,,10),INDEX(választott_kasztok,,1),$L141))*(k6dobás+5)</f>
        <v>11</v>
      </c>
      <c r="AM141" s="10">
        <f>MAX(9,MIN(1,SUMIFS(INDEX(választott_kasztok,,10),INDEX(választott_kasztok,,1),$L141))*9+MAX(0,SUMIFS(INDEX(választott_kasztok,,10),INDEX(választott_kasztok,,1),$L141)-1)*(6+ROUNDUP(k6dobás/2,0)))</f>
        <v>9</v>
      </c>
      <c r="AN141" s="20" t="s">
        <v>1183</v>
      </c>
      <c r="AO141" s="209"/>
      <c r="AP141" s="34">
        <v>0</v>
      </c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117">
        <f>138001+MAX(0,váltás_kezdet-13)*38000</f>
        <v>138001</v>
      </c>
      <c r="BB141" s="17">
        <f t="shared" si="246"/>
        <v>14</v>
      </c>
      <c r="BC141" s="17">
        <f t="shared" si="247"/>
        <v>11</v>
      </c>
      <c r="BD141" s="17">
        <f t="shared" si="248"/>
        <v>11</v>
      </c>
      <c r="BE141" s="17">
        <f t="shared" si="249"/>
        <v>14</v>
      </c>
      <c r="BF141" s="116">
        <f t="shared" si="250"/>
        <v>16</v>
      </c>
      <c r="BG141" s="17">
        <f t="shared" si="251"/>
        <v>14</v>
      </c>
      <c r="BH141" s="17">
        <f t="shared" si="252"/>
        <v>13</v>
      </c>
      <c r="BI141" s="17">
        <f t="shared" si="253"/>
        <v>14</v>
      </c>
      <c r="BJ141" s="17">
        <f t="shared" si="254"/>
        <v>16</v>
      </c>
      <c r="BK141" s="17">
        <f t="shared" si="255"/>
        <v>14</v>
      </c>
      <c r="BL141" s="17">
        <f t="shared" si="258"/>
        <v>0</v>
      </c>
      <c r="BM141" s="13">
        <f t="shared" si="256"/>
        <v>0</v>
      </c>
      <c r="BN141" s="12" t="s">
        <v>262</v>
      </c>
      <c r="BO141" s="12"/>
      <c r="BP141" s="12"/>
      <c r="BQ141" s="12"/>
      <c r="BR141" s="12"/>
      <c r="BS141" s="12"/>
      <c r="BT141" s="12"/>
      <c r="BU141" s="12"/>
      <c r="BV141" s="12"/>
      <c r="BW141" s="51"/>
      <c r="BX141" s="12" t="s">
        <v>132</v>
      </c>
      <c r="BY141" s="12" t="s">
        <v>129</v>
      </c>
      <c r="BZ141" s="12" t="s">
        <v>129</v>
      </c>
      <c r="CA141" s="12" t="s">
        <v>132</v>
      </c>
      <c r="CB141" s="12" t="s">
        <v>135</v>
      </c>
      <c r="CC141" s="12" t="s">
        <v>132</v>
      </c>
      <c r="CD141" s="12" t="s">
        <v>131</v>
      </c>
      <c r="CE141" s="12" t="s">
        <v>132</v>
      </c>
      <c r="CF141" s="12" t="s">
        <v>134</v>
      </c>
      <c r="CG141" s="12" t="s">
        <v>132</v>
      </c>
      <c r="CH141" s="20">
        <v>5</v>
      </c>
      <c r="CI141" s="10">
        <v>6</v>
      </c>
      <c r="CJ141" s="148"/>
      <c r="CK141" s="63"/>
    </row>
    <row r="142" spans="1:89">
      <c r="A142" s="148"/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20" t="s">
        <v>1144</v>
      </c>
      <c r="M142" s="34">
        <v>0</v>
      </c>
      <c r="N142" s="34">
        <v>176</v>
      </c>
      <c r="O142" s="34">
        <v>353</v>
      </c>
      <c r="P142" s="34">
        <v>721</v>
      </c>
      <c r="Q142" s="34">
        <v>1501</v>
      </c>
      <c r="R142" s="34">
        <v>3501</v>
      </c>
      <c r="S142" s="34">
        <v>7001</v>
      </c>
      <c r="T142" s="34">
        <v>10501</v>
      </c>
      <c r="U142" s="34">
        <v>21001</v>
      </c>
      <c r="V142" s="34">
        <v>48001</v>
      </c>
      <c r="W142" s="34">
        <v>78001</v>
      </c>
      <c r="X142" s="34">
        <v>108001</v>
      </c>
      <c r="Y142" s="34">
        <f>138001+MAX(0,SUMIFS(INDEX(választott_kasztok,,10),INDEX(választott_kasztok,,1),$L142)-13)*38000</f>
        <v>138001</v>
      </c>
      <c r="Z142" s="20">
        <v>5</v>
      </c>
      <c r="AA142" s="20">
        <v>20</v>
      </c>
      <c r="AB142" s="20">
        <v>75</v>
      </c>
      <c r="AC142" s="20">
        <v>0</v>
      </c>
      <c r="AD142" s="10">
        <f>MAX(9,SUMIFS(INDEX(választott_kasztok,,10),INDEX(választott_kasztok,,1),$L142)*9)</f>
        <v>9</v>
      </c>
      <c r="AE142" s="10">
        <f t="shared" si="257"/>
        <v>3</v>
      </c>
      <c r="AF142" s="10">
        <f t="shared" si="257"/>
        <v>3</v>
      </c>
      <c r="AG142" s="20">
        <f>IF(AND(többes_kaszt=iker_kaszt,váltás_kezdet=0,váltás_kezdet&lt;&gt;""),0,5)</f>
        <v>5</v>
      </c>
      <c r="AH142" s="10">
        <f>MAX(0,IF(választott_kaszt_1=$L142,IF(váltás_kezdet="",VLOOKUP($L142,választott_kasztok,10,FALSE)*5,MIN(VLOOKUP($L142,választott_kasztok,10,FALSE),váltás_kezdet)*5+IF(többes_kaszt=iker_kaszt,MAX(0,VLOOKUP($L142,választott_kasztok,10,FALSE)-váltás_kezdet),0)+IF(többes_kaszt=váltott_kaszt,MAX(0,váltás_kezdet-VLOOKUP($L142,választott_kasztok,10,FALSE))*5)),0)+IF(választott_kaszt_2=$L142,VLOOKUP($L142,választott_kasztok,10,FALSE)*IF(többes_kaszt=iker_kaszt,1,5),0))</f>
        <v>0</v>
      </c>
      <c r="AI142" s="20">
        <v>0</v>
      </c>
      <c r="AJ142" s="20">
        <v>8</v>
      </c>
      <c r="AK142" s="20">
        <v>7</v>
      </c>
      <c r="AL142" s="10">
        <f>MAX(1,SUMIFS(INDEX(választott_kasztok,,10),INDEX(választott_kasztok,,1),$L142))*(k6dobás+5)</f>
        <v>11</v>
      </c>
      <c r="AM142" s="10">
        <f>MAX(6,SUMIFS(INDEX(választott_kasztok,,10),INDEX(választott_kasztok,,1),$L142)*6)</f>
        <v>6</v>
      </c>
      <c r="AN142" s="20" t="s">
        <v>1183</v>
      </c>
      <c r="AO142" s="209"/>
      <c r="AP142" s="34">
        <v>0</v>
      </c>
      <c r="AQ142" s="57"/>
      <c r="AR142" s="57">
        <v>20</v>
      </c>
      <c r="AS142" s="57"/>
      <c r="AT142" s="57"/>
      <c r="AU142" s="57"/>
      <c r="AV142" s="57"/>
      <c r="AW142" s="57"/>
      <c r="AX142" s="57"/>
      <c r="AY142" s="57"/>
      <c r="AZ142" s="57"/>
      <c r="BA142" s="117">
        <f>138001+MAX(0,váltás_kezdet-13)*38000</f>
        <v>138001</v>
      </c>
      <c r="BB142" s="17">
        <f t="shared" si="246"/>
        <v>14</v>
      </c>
      <c r="BC142" s="17">
        <f t="shared" si="247"/>
        <v>11</v>
      </c>
      <c r="BD142" s="17">
        <f t="shared" si="248"/>
        <v>11</v>
      </c>
      <c r="BE142" s="17">
        <f t="shared" si="249"/>
        <v>14</v>
      </c>
      <c r="BF142" s="116">
        <f t="shared" si="250"/>
        <v>16</v>
      </c>
      <c r="BG142" s="17">
        <f t="shared" si="251"/>
        <v>14</v>
      </c>
      <c r="BH142" s="17">
        <f t="shared" si="252"/>
        <v>13</v>
      </c>
      <c r="BI142" s="17">
        <f t="shared" si="253"/>
        <v>14</v>
      </c>
      <c r="BJ142" s="17">
        <f t="shared" si="254"/>
        <v>16</v>
      </c>
      <c r="BK142" s="17">
        <f t="shared" si="255"/>
        <v>14</v>
      </c>
      <c r="BL142" s="17">
        <f t="shared" si="258"/>
        <v>0</v>
      </c>
      <c r="BM142" s="13">
        <f t="shared" si="256"/>
        <v>0</v>
      </c>
      <c r="BN142" s="12" t="s">
        <v>262</v>
      </c>
      <c r="BO142" s="12"/>
      <c r="BP142" s="12"/>
      <c r="BQ142" s="12"/>
      <c r="BR142" s="12"/>
      <c r="BS142" s="12"/>
      <c r="BT142" s="12"/>
      <c r="BU142" s="12"/>
      <c r="BV142" s="12"/>
      <c r="BW142" s="51"/>
      <c r="BX142" s="12" t="s">
        <v>132</v>
      </c>
      <c r="BY142" s="12" t="s">
        <v>129</v>
      </c>
      <c r="BZ142" s="12" t="s">
        <v>129</v>
      </c>
      <c r="CA142" s="12" t="s">
        <v>132</v>
      </c>
      <c r="CB142" s="12" t="s">
        <v>135</v>
      </c>
      <c r="CC142" s="12" t="s">
        <v>132</v>
      </c>
      <c r="CD142" s="12" t="s">
        <v>131</v>
      </c>
      <c r="CE142" s="12" t="s">
        <v>132</v>
      </c>
      <c r="CF142" s="12" t="s">
        <v>134</v>
      </c>
      <c r="CG142" s="12" t="s">
        <v>132</v>
      </c>
      <c r="CH142" s="10">
        <v>3</v>
      </c>
      <c r="CI142" s="10">
        <v>6</v>
      </c>
      <c r="CJ142" s="148"/>
      <c r="CK142" s="63"/>
    </row>
    <row r="143" spans="1:89">
      <c r="A143" s="14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20" t="s">
        <v>1148</v>
      </c>
      <c r="M143" s="33">
        <v>0</v>
      </c>
      <c r="N143" s="33">
        <v>201</v>
      </c>
      <c r="O143" s="33">
        <v>401</v>
      </c>
      <c r="P143" s="33">
        <v>801</v>
      </c>
      <c r="Q143" s="33">
        <v>1601</v>
      </c>
      <c r="R143" s="33">
        <v>4001</v>
      </c>
      <c r="S143" s="33">
        <v>8001</v>
      </c>
      <c r="T143" s="33">
        <v>16001</v>
      </c>
      <c r="U143" s="33">
        <v>32001</v>
      </c>
      <c r="V143" s="33">
        <v>59001</v>
      </c>
      <c r="W143" s="33">
        <v>90501</v>
      </c>
      <c r="X143" s="33">
        <v>140001</v>
      </c>
      <c r="Y143" s="34">
        <f>190001+MAX(0,SUMIFS(INDEX(választott_kasztok,,10),INDEX(választott_kasztok,,1),$L143)-13)*55000</f>
        <v>190001</v>
      </c>
      <c r="Z143" s="10">
        <v>5</v>
      </c>
      <c r="AA143" s="10">
        <v>15</v>
      </c>
      <c r="AB143" s="10">
        <v>75</v>
      </c>
      <c r="AC143" s="10">
        <v>0</v>
      </c>
      <c r="AD143" s="10">
        <f>MAX(8,SUMIFS(INDEX(választott_kasztok,,10),INDEX(választott_kasztok,,1),$L143)*8)</f>
        <v>8</v>
      </c>
      <c r="AE143" s="10">
        <f>MAX(2,SUMIFS(INDEX(választott_kasztok,,10),INDEX(választott_kasztok,,1),$L143)*2)</f>
        <v>2</v>
      </c>
      <c r="AF143" s="10">
        <f>MAX(4,SUMIFS(INDEX(választott_kasztok,,10),INDEX(választott_kasztok,,1),$L143)*4)</f>
        <v>4</v>
      </c>
      <c r="AG143" s="20">
        <f>IF(AND(többes_kaszt=iker_kaszt,váltás_kezdet=0,váltás_kezdet&lt;&gt;""),0,5)</f>
        <v>5</v>
      </c>
      <c r="AH143" s="10">
        <f>MAX(0,IF(választott_kaszt_1=$L143,IF(váltás_kezdet="",VLOOKUP($L143,választott_kasztok,10,FALSE)*8,MIN(VLOOKUP($L143,választott_kasztok,10,FALSE),váltás_kezdet)*8+IF(többes_kaszt=iker_kaszt,MAX(0,VLOOKUP($L143,választott_kasztok,10,FALSE)-váltás_kezdet),0)+IF(többes_kaszt=váltott_kaszt,MAX(0,váltás_kezdet-VLOOKUP($L143,választott_kasztok,10,FALSE))*8)),0)+IF(választott_kaszt_2=$L143,VLOOKUP($L143,választott_kasztok,10,FALSE)*IF(többes_kaszt=iker_kaszt,1,8),0))</f>
        <v>0</v>
      </c>
      <c r="AI143" s="20">
        <v>0</v>
      </c>
      <c r="AJ143" s="20">
        <v>4</v>
      </c>
      <c r="AK143" s="20">
        <v>8</v>
      </c>
      <c r="AL143" s="10">
        <f>MAX(1,SUMIFS(INDEX(választott_kasztok,,10),INDEX(választott_kasztok,,1),$L143))*(k6dobás+5)</f>
        <v>11</v>
      </c>
      <c r="AM143" s="10">
        <f>MAX(9,MIN(1,SUMIFS(INDEX(választott_kasztok,,10),INDEX(választott_kasztok,,1),$L143))*9+MAX(0,SUMIFS(INDEX(választott_kasztok,,10),INDEX(választott_kasztok,,1),$L143)-1)*(6+ROUNDUP(k6dobás/2,0)))</f>
        <v>9</v>
      </c>
      <c r="AN143" s="20" t="s">
        <v>1183</v>
      </c>
      <c r="AO143" s="209"/>
      <c r="AP143" s="34">
        <v>0</v>
      </c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117">
        <f>190001+MAX(0,váltás_kezdet-13)*55000</f>
        <v>190001</v>
      </c>
      <c r="BB143" s="17">
        <f t="shared" si="246"/>
        <v>13</v>
      </c>
      <c r="BC143" s="17">
        <f t="shared" si="247"/>
        <v>13</v>
      </c>
      <c r="BD143" s="17">
        <f t="shared" si="248"/>
        <v>13</v>
      </c>
      <c r="BE143" s="17">
        <f t="shared" si="249"/>
        <v>16</v>
      </c>
      <c r="BF143" s="17">
        <f t="shared" si="250"/>
        <v>11</v>
      </c>
      <c r="BG143" s="17">
        <f t="shared" si="251"/>
        <v>11</v>
      </c>
      <c r="BH143" s="17">
        <f t="shared" si="252"/>
        <v>13</v>
      </c>
      <c r="BI143" s="17">
        <f t="shared" si="253"/>
        <v>16</v>
      </c>
      <c r="BJ143" s="17">
        <f t="shared" si="254"/>
        <v>16</v>
      </c>
      <c r="BK143" s="17">
        <f t="shared" si="255"/>
        <v>13</v>
      </c>
      <c r="BL143" s="17">
        <f t="shared" ref="BL143" si="259">MAX(0,SUM(tulajdonságok)-SUM($BB143:$BK143))</f>
        <v>0</v>
      </c>
      <c r="BM143" s="13">
        <f t="shared" si="256"/>
        <v>0</v>
      </c>
      <c r="BN143" s="198"/>
      <c r="BO143" s="198"/>
      <c r="BP143" s="198"/>
      <c r="BQ143" s="198" t="s">
        <v>262</v>
      </c>
      <c r="BR143" s="198"/>
      <c r="BS143" s="198"/>
      <c r="BT143" s="198"/>
      <c r="BU143" s="198"/>
      <c r="BV143" s="198" t="s">
        <v>262</v>
      </c>
      <c r="BW143" s="199"/>
      <c r="BX143" s="12" t="s">
        <v>131</v>
      </c>
      <c r="BY143" s="12" t="s">
        <v>131</v>
      </c>
      <c r="BZ143" s="12" t="s">
        <v>131</v>
      </c>
      <c r="CA143" s="12" t="s">
        <v>134</v>
      </c>
      <c r="CB143" s="12" t="s">
        <v>129</v>
      </c>
      <c r="CC143" s="12" t="s">
        <v>129</v>
      </c>
      <c r="CD143" s="12" t="s">
        <v>131</v>
      </c>
      <c r="CE143" s="12" t="s">
        <v>134</v>
      </c>
      <c r="CF143" s="12" t="s">
        <v>134</v>
      </c>
      <c r="CG143" s="12" t="s">
        <v>131</v>
      </c>
      <c r="CH143" s="10">
        <v>3</v>
      </c>
      <c r="CI143" s="10">
        <v>6</v>
      </c>
      <c r="CJ143" s="148"/>
      <c r="CK143" s="63"/>
    </row>
    <row r="144" spans="1:89">
      <c r="A144" s="148"/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0" t="s">
        <v>266</v>
      </c>
      <c r="M144" s="33">
        <v>0</v>
      </c>
      <c r="N144" s="33">
        <v>231</v>
      </c>
      <c r="O144" s="33">
        <v>501</v>
      </c>
      <c r="P144" s="33">
        <v>1001</v>
      </c>
      <c r="Q144" s="33">
        <v>2201</v>
      </c>
      <c r="R144" s="33">
        <v>5001</v>
      </c>
      <c r="S144" s="33">
        <v>10001</v>
      </c>
      <c r="T144" s="33">
        <v>18001</v>
      </c>
      <c r="U144" s="33">
        <v>35001</v>
      </c>
      <c r="V144" s="33">
        <v>70001</v>
      </c>
      <c r="W144" s="33">
        <v>150001</v>
      </c>
      <c r="X144" s="33">
        <v>200001</v>
      </c>
      <c r="Y144" s="34">
        <f>300001+MAX(0,SUMIFS(INDEX(választott_kasztok,,10),INDEX(választott_kasztok,,1),$L144)-13)*80000</f>
        <v>300001</v>
      </c>
      <c r="Z144" s="20">
        <v>2</v>
      </c>
      <c r="AA144" s="20">
        <v>15</v>
      </c>
      <c r="AB144" s="20">
        <v>70</v>
      </c>
      <c r="AC144" s="20">
        <v>0</v>
      </c>
      <c r="AD144" s="10">
        <f>MAX(4,SUMIFS(INDEX(választott_kasztok,,10),INDEX(választott_kasztok,,1),$L144)*4)</f>
        <v>4</v>
      </c>
      <c r="AE144" s="10">
        <f t="shared" ref="AE144:AF147" si="260">MAX(1,SUMIFS(INDEX(választott_kasztok,,10),INDEX(választott_kasztok,,1),$L144)*1)</f>
        <v>1</v>
      </c>
      <c r="AF144" s="10">
        <f t="shared" si="260"/>
        <v>1</v>
      </c>
      <c r="AG144" s="20">
        <f>IF(AND(többes_kaszt=iker_kaszt,váltás_kezdet=0,váltás_kezdet&lt;&gt;""),0,7)</f>
        <v>7</v>
      </c>
      <c r="AH144" s="10">
        <f>MAX(0,IF(választott_kaszt_1=$L144,IF(váltás_kezdet="",VLOOKUP($L144,választott_kasztok,10,FALSE)*7,MIN(VLOOKUP($L144,választott_kasztok,10,FALSE),váltás_kezdet)*7+IF(többes_kaszt=iker_kaszt,MAX(0,VLOOKUP($L144,választott_kasztok,10,FALSE)-váltás_kezdet),0)+IF(többes_kaszt=váltott_kaszt,MAX(0,váltás_kezdet-VLOOKUP($L144,választott_kasztok,10,FALSE))*7)),0)+IF(választott_kaszt_2=$L144,VLOOKUP($L144,választott_kasztok,10,FALSE)*IF(többes_kaszt=iker_kaszt,1,7),0))</f>
        <v>0</v>
      </c>
      <c r="AI144" s="20">
        <v>0</v>
      </c>
      <c r="AJ144" s="20">
        <v>3</v>
      </c>
      <c r="AK144" s="20">
        <v>2</v>
      </c>
      <c r="AL144" s="10">
        <f>MAX(1,SUMIFS(INDEX(választott_kasztok,,10),INDEX(választott_kasztok,,1),$L144))*(k6dobás+0)</f>
        <v>6</v>
      </c>
      <c r="AM144" s="10">
        <f>MAX(10,SUMIFS(INDEX(választott_kasztok,,10),INDEX(választott_kasztok,,1),$L144)*10)</f>
        <v>10</v>
      </c>
      <c r="AN144" s="20" t="s">
        <v>98</v>
      </c>
      <c r="AO144" s="208"/>
      <c r="AP144" s="33">
        <v>0</v>
      </c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117">
        <f>300001+MAX(0,váltás_kezdet-13)*80000</f>
        <v>300001</v>
      </c>
      <c r="BB144" s="17">
        <f t="shared" si="246"/>
        <v>10</v>
      </c>
      <c r="BC144" s="17">
        <f t="shared" si="247"/>
        <v>11</v>
      </c>
      <c r="BD144" s="17">
        <f t="shared" si="248"/>
        <v>11</v>
      </c>
      <c r="BE144" s="17">
        <f t="shared" si="249"/>
        <v>10</v>
      </c>
      <c r="BF144" s="17">
        <f t="shared" si="250"/>
        <v>11</v>
      </c>
      <c r="BG144" s="17">
        <f t="shared" si="251"/>
        <v>10</v>
      </c>
      <c r="BH144" s="17">
        <f t="shared" si="252"/>
        <v>16</v>
      </c>
      <c r="BI144" s="17">
        <f t="shared" si="253"/>
        <v>16</v>
      </c>
      <c r="BJ144" s="17">
        <f t="shared" si="254"/>
        <v>16</v>
      </c>
      <c r="BK144" s="17">
        <f t="shared" si="255"/>
        <v>13</v>
      </c>
      <c r="BL144" s="17">
        <f t="shared" si="258"/>
        <v>0</v>
      </c>
      <c r="BM144" s="13">
        <f t="shared" si="256"/>
        <v>0</v>
      </c>
      <c r="BN144" s="12"/>
      <c r="BO144" s="12"/>
      <c r="BP144" s="12"/>
      <c r="BQ144" s="12"/>
      <c r="BR144" s="12"/>
      <c r="BS144" s="12"/>
      <c r="BT144" s="12" t="s">
        <v>262</v>
      </c>
      <c r="BU144" s="12" t="s">
        <v>262</v>
      </c>
      <c r="BV144" s="12" t="s">
        <v>262</v>
      </c>
      <c r="BW144" s="51"/>
      <c r="BX144" s="12" t="s">
        <v>128</v>
      </c>
      <c r="BY144" s="12" t="s">
        <v>129</v>
      </c>
      <c r="BZ144" s="12" t="s">
        <v>129</v>
      </c>
      <c r="CA144" s="12" t="s">
        <v>128</v>
      </c>
      <c r="CB144" s="12" t="s">
        <v>129</v>
      </c>
      <c r="CC144" s="12" t="s">
        <v>128</v>
      </c>
      <c r="CD144" s="12" t="s">
        <v>134</v>
      </c>
      <c r="CE144" s="12" t="s">
        <v>134</v>
      </c>
      <c r="CF144" s="12" t="s">
        <v>134</v>
      </c>
      <c r="CG144" s="12" t="s">
        <v>131</v>
      </c>
      <c r="CH144" s="20">
        <v>1</v>
      </c>
      <c r="CI144" s="10">
        <v>18</v>
      </c>
      <c r="CJ144" s="148"/>
      <c r="CK144" s="63"/>
    </row>
    <row r="145" spans="1:89">
      <c r="A145" s="148"/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0" t="s">
        <v>1142</v>
      </c>
      <c r="M145" s="33">
        <v>0</v>
      </c>
      <c r="N145" s="33">
        <v>231</v>
      </c>
      <c r="O145" s="33">
        <v>501</v>
      </c>
      <c r="P145" s="33">
        <v>1001</v>
      </c>
      <c r="Q145" s="33">
        <v>2201</v>
      </c>
      <c r="R145" s="33">
        <v>5001</v>
      </c>
      <c r="S145" s="33">
        <v>10001</v>
      </c>
      <c r="T145" s="33">
        <v>18001</v>
      </c>
      <c r="U145" s="33">
        <v>35001</v>
      </c>
      <c r="V145" s="33">
        <v>70001</v>
      </c>
      <c r="W145" s="33">
        <v>150001</v>
      </c>
      <c r="X145" s="33">
        <v>200001</v>
      </c>
      <c r="Y145" s="34">
        <f>300001+MAX(0,SUMIFS(INDEX(választott_kasztok,,10),INDEX(választott_kasztok,,1),$L145)-13)*80000</f>
        <v>300001</v>
      </c>
      <c r="Z145" s="20">
        <v>2</v>
      </c>
      <c r="AA145" s="20">
        <v>15</v>
      </c>
      <c r="AB145" s="20">
        <v>70</v>
      </c>
      <c r="AC145" s="20">
        <v>0</v>
      </c>
      <c r="AD145" s="10">
        <f>MAX(4,SUMIFS(INDEX(választott_kasztok,,10),INDEX(választott_kasztok,,1),$L145)*4)</f>
        <v>4</v>
      </c>
      <c r="AE145" s="10">
        <f t="shared" si="260"/>
        <v>1</v>
      </c>
      <c r="AF145" s="10">
        <f t="shared" si="260"/>
        <v>1</v>
      </c>
      <c r="AG145" s="20">
        <f>IF(AND(többes_kaszt=iker_kaszt,váltás_kezdet=0,váltás_kezdet&lt;&gt;""),0,7)</f>
        <v>7</v>
      </c>
      <c r="AH145" s="10">
        <f>MAX(0,IF(választott_kaszt_1=$L145,IF(váltás_kezdet="",VLOOKUP($L145,választott_kasztok,10,FALSE)*7,MIN(VLOOKUP($L145,választott_kasztok,10,FALSE),váltás_kezdet)*7+IF(többes_kaszt=iker_kaszt,MAX(0,VLOOKUP($L145,választott_kasztok,10,FALSE)-váltás_kezdet),0)+IF(többes_kaszt=váltott_kaszt,MAX(0,váltás_kezdet-VLOOKUP($L145,választott_kasztok,10,FALSE))*7)),0)+IF(választott_kaszt_2=$L145,VLOOKUP($L145,választott_kasztok,10,FALSE)*IF(többes_kaszt=iker_kaszt,1,7),0))</f>
        <v>0</v>
      </c>
      <c r="AI145" s="20">
        <v>0</v>
      </c>
      <c r="AJ145" s="20">
        <v>3</v>
      </c>
      <c r="AK145" s="20">
        <v>2</v>
      </c>
      <c r="AL145" s="10">
        <f>MAX(1,SUMIFS(INDEX(választott_kasztok,,10),INDEX(választott_kasztok,,1),$L145))*(k6dobás+0)</f>
        <v>6</v>
      </c>
      <c r="AM145" s="10">
        <f>MAX(10,SUMIFS(INDEX(választott_kasztok,,10),INDEX(választott_kasztok,,1),$L145)*10)</f>
        <v>10</v>
      </c>
      <c r="AN145" s="20" t="s">
        <v>98</v>
      </c>
      <c r="AO145" s="208"/>
      <c r="AP145" s="33">
        <v>0</v>
      </c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117">
        <f>300001+MAX(0,váltás_kezdet-13)*80000</f>
        <v>300001</v>
      </c>
      <c r="BB145" s="17">
        <f>MAX(SUMIFS(INDEX(dobások,,2),INDEX(dobások,,1),BX145)+SUMIFS(INDEX(fajok,,3),INDEX(fajok,,1),választott_faj),IF(AND(többes_kaszt=iker_kaszt,váltás_kezdet=1,választott_kaszt_1=$L145),SUMIFS(INDEX(kasztok,,43),INDEX(kasztok,,1),választott_kaszt_2),0))</f>
        <v>10</v>
      </c>
      <c r="BC145" s="17">
        <f>MAX(SUMIFS(INDEX(dobások,,2),INDEX(dobások,,1),BY145)+SUMIFS(INDEX(fajok,,4),INDEX(fajok,,1),választott_faj),IF(AND(többes_kaszt=iker_kaszt,váltás_kezdet=1,választott_kaszt_1=$L145),SUMIFS(INDEX(kasztok,,44),INDEX(kasztok,,1),választott_kaszt_2),0))</f>
        <v>11</v>
      </c>
      <c r="BD145" s="17">
        <f>MAX(SUMIFS(INDEX(dobások,,2),INDEX(dobások,,1),BZ145)+SUMIFS(INDEX(fajok,,5),INDEX(fajok,,1),választott_faj),IF(AND(többes_kaszt=iker_kaszt,váltás_kezdet=1,választott_kaszt_1=$L145),SUMIFS(INDEX(kasztok,,45),INDEX(kasztok,,1),választott_kaszt_2),0))</f>
        <v>11</v>
      </c>
      <c r="BE145" s="17">
        <f>MAX(SUMIFS(INDEX(dobások,,2),INDEX(dobások,,1),CA145)+SUMIFS(INDEX(fajok,,6),INDEX(fajok,,1),választott_faj),IF(AND(többes_kaszt=iker_kaszt,váltás_kezdet=1,választott_kaszt_1=$L145),SUMIFS(INDEX(kasztok,,46),INDEX(kasztok,,1),választott_kaszt_2),0))</f>
        <v>10</v>
      </c>
      <c r="BF145" s="17">
        <f>MAX(SUMIFS(INDEX(dobások,,2),INDEX(dobások,,1),CB145)+SUMIFS(INDEX(fajok,,7),INDEX(fajok,,1),választott_faj),IF(AND(többes_kaszt=iker_kaszt,váltás_kezdet=1,választott_kaszt_1=$L145),SUMIFS(INDEX(kasztok,,47),INDEX(kasztok,,1),választott_kaszt_2),0))</f>
        <v>11</v>
      </c>
      <c r="BG145" s="17">
        <f>MAX(SUMIFS(INDEX(dobások,,2),INDEX(dobások,,1),CC145)+SUMIFS(INDEX(fajok,,8),INDEX(fajok,,1),választott_faj),IF(AND(többes_kaszt=iker_kaszt,váltás_kezdet=1,választott_kaszt_1=$L145),SUMIFS(INDEX(kasztok,,48),INDEX(kasztok,,1),választott_kaszt_2),0))</f>
        <v>10</v>
      </c>
      <c r="BH145" s="17">
        <f>MAX(SUMIFS(INDEX(dobások,,2),INDEX(dobások,,1),CD145)+SUMIFS(INDEX(fajok,,9),INDEX(fajok,,1),választott_faj),IF(AND(többes_kaszt=iker_kaszt,váltás_kezdet=1,választott_kaszt_1=$L145),SUMIFS(INDEX(kasztok,,49),INDEX(kasztok,,1),választott_kaszt_2),0))</f>
        <v>16</v>
      </c>
      <c r="BI145" s="17">
        <f>MAX(SUMIFS(INDEX(dobások,,2),INDEX(dobások,,1),CE145),IF(AND(többes_kaszt=iker_kaszt,váltás_kezdet=1,választott_kaszt_1=$L145),SUMIFS(INDEX(kasztok,,50),INDEX(kasztok,,1),választott_kaszt_2),0))</f>
        <v>16</v>
      </c>
      <c r="BJ145" s="17">
        <f>MAX(SUMIFS(INDEX(dobások,,2),INDEX(dobások,,1),CF145)+SUMIFS(INDEX(fajok,,10),INDEX(fajok,,1),választott_faj),IF(AND(többes_kaszt=iker_kaszt,váltás_kezdet=1,választott_kaszt_1=$L145),SUMIFS(INDEX(kasztok,,51),INDEX(kasztok,,1),választott_kaszt_2),0))</f>
        <v>16</v>
      </c>
      <c r="BK145" s="17">
        <f>MAX(SUMIFS(INDEX(dobások,,2),INDEX(dobások,,1),CG145),IF(AND(többes_kaszt=iker_kaszt,váltás_kezdet=1,választott_kaszt_1=$L145),SUMIFS(INDEX(kasztok,,52),INDEX(kasztok,,1),választott_kaszt_2),0))</f>
        <v>13</v>
      </c>
      <c r="BL145" s="17">
        <f>MAX(0,SUM(tulajdonságok)-SUM($BB145:$BK145))</f>
        <v>0</v>
      </c>
      <c r="BM145" s="13">
        <f t="shared" ref="BM145:BM148" si="261">MAX(0,erő-(SUMIFS(INDEX(dobások,,4),INDEX(dobások,,1),BX145)+SUMIFS(INDEX(fajok,,3),INDEX(fajok,,1),választott_faj)))+MAX(0,gyorsaság-(SUMIFS(INDEX(dobások,,4),INDEX(dobások,,1),BY145)+SUMIFS(INDEX(fajok,,4),INDEX(fajok,,1),választott_faj)))+MAX(0,ügyesség-(SUMIFS(INDEX(dobások,,4),INDEX(dobások,,1),BZ145)+SUMIFS(INDEX(fajok,,5),INDEX(fajok,,1),választott_faj)))+MAX(0,állóképesség-(SUMIFS(INDEX(dobások,,4),INDEX(dobások,,1),CA145)+SUMIFS(INDEX(fajok,,6),INDEX(fajok,,1),választott_faj)))+MAX(0,egészség-(SUMIFS(INDEX(dobások,,4),INDEX(dobások,,1),CB145)+SUMIFS(INDEX(fajok,,7),INDEX(fajok,,1),választott_faj)))+MAX(0,szépség-(SUMIFS(INDEX(dobások,,4),INDEX(dobások,,1),CC145)+SUMIFS(INDEX(fajok,,8),INDEX(fajok,,1),választott_faj)))+MAX(0,intelligencia-(SUMIFS(INDEX(dobások,,4),INDEX(dobások,,1),CD145)+SUMIFS(INDEX(fajok,,9),INDEX(fajok,,1),választott_faj)))+MAX(0,akaraterő-SUMIFS(INDEX(dobások,,4),INDEX(dobások,,1),CE145))+MAX(0,asztrál-(SUMIFS(INDEX(dobások,,4),INDEX(dobások,,1),CF145)+SUMIFS(INDEX(fajok,,10),INDEX(fajok,,1),választott_faj)))+MAX(0,érzékelés-SUMIFS(INDEX(dobások,,4),INDEX(dobások,,1),CG145))</f>
        <v>0</v>
      </c>
      <c r="BN145" s="12"/>
      <c r="BO145" s="12"/>
      <c r="BP145" s="12"/>
      <c r="BQ145" s="12"/>
      <c r="BR145" s="12"/>
      <c r="BS145" s="12"/>
      <c r="BT145" s="12" t="s">
        <v>262</v>
      </c>
      <c r="BU145" s="12" t="s">
        <v>262</v>
      </c>
      <c r="BV145" s="12" t="s">
        <v>262</v>
      </c>
      <c r="BW145" s="51"/>
      <c r="BX145" s="12" t="s">
        <v>128</v>
      </c>
      <c r="BY145" s="12" t="s">
        <v>129</v>
      </c>
      <c r="BZ145" s="12" t="s">
        <v>129</v>
      </c>
      <c r="CA145" s="12" t="s">
        <v>128</v>
      </c>
      <c r="CB145" s="12" t="s">
        <v>129</v>
      </c>
      <c r="CC145" s="12" t="s">
        <v>128</v>
      </c>
      <c r="CD145" s="12" t="s">
        <v>134</v>
      </c>
      <c r="CE145" s="12" t="s">
        <v>134</v>
      </c>
      <c r="CF145" s="12" t="s">
        <v>134</v>
      </c>
      <c r="CG145" s="12" t="s">
        <v>131</v>
      </c>
      <c r="CH145" s="20">
        <v>5</v>
      </c>
      <c r="CI145" s="10">
        <v>18</v>
      </c>
      <c r="CJ145" s="148"/>
      <c r="CK145" s="63"/>
    </row>
    <row r="146" spans="1:89">
      <c r="A146" s="148"/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0" t="s">
        <v>1143</v>
      </c>
      <c r="M146" s="33">
        <v>0</v>
      </c>
      <c r="N146" s="33">
        <v>231</v>
      </c>
      <c r="O146" s="33">
        <v>501</v>
      </c>
      <c r="P146" s="33">
        <v>1001</v>
      </c>
      <c r="Q146" s="33">
        <v>2201</v>
      </c>
      <c r="R146" s="33">
        <v>5001</v>
      </c>
      <c r="S146" s="33">
        <v>10001</v>
      </c>
      <c r="T146" s="33">
        <v>18001</v>
      </c>
      <c r="U146" s="33">
        <v>35001</v>
      </c>
      <c r="V146" s="33">
        <v>70001</v>
      </c>
      <c r="W146" s="33">
        <v>150001</v>
      </c>
      <c r="X146" s="33">
        <v>200001</v>
      </c>
      <c r="Y146" s="34">
        <f>300001+MAX(0,SUMIFS(INDEX(választott_kasztok,,10),INDEX(választott_kasztok,,1),$L146)-13)*80000</f>
        <v>300001</v>
      </c>
      <c r="Z146" s="20">
        <v>2</v>
      </c>
      <c r="AA146" s="20">
        <v>15</v>
      </c>
      <c r="AB146" s="20">
        <v>70</v>
      </c>
      <c r="AC146" s="20">
        <v>0</v>
      </c>
      <c r="AD146" s="10">
        <f>MAX(4,SUMIFS(INDEX(választott_kasztok,,10),INDEX(választott_kasztok,,1),$L146)*4)</f>
        <v>4</v>
      </c>
      <c r="AE146" s="10">
        <f t="shared" si="260"/>
        <v>1</v>
      </c>
      <c r="AF146" s="10">
        <f t="shared" si="260"/>
        <v>1</v>
      </c>
      <c r="AG146" s="20">
        <f>IF(AND(többes_kaszt=iker_kaszt,váltás_kezdet=0,váltás_kezdet&lt;&gt;""),0,7)</f>
        <v>7</v>
      </c>
      <c r="AH146" s="10">
        <f>MAX(0,IF(választott_kaszt_1=$L146,IF(váltás_kezdet="",VLOOKUP($L146,választott_kasztok,10,FALSE)*7,MIN(VLOOKUP($L146,választott_kasztok,10,FALSE),váltás_kezdet)*7+IF(többes_kaszt=iker_kaszt,MAX(0,VLOOKUP($L146,választott_kasztok,10,FALSE)-váltás_kezdet),0)+IF(többes_kaszt=váltott_kaszt,MAX(0,váltás_kezdet-VLOOKUP($L146,választott_kasztok,10,FALSE))*7)),0)+IF(választott_kaszt_2=$L146,VLOOKUP($L146,választott_kasztok,10,FALSE)*IF(többes_kaszt=iker_kaszt,1,7),0))</f>
        <v>0</v>
      </c>
      <c r="AI146" s="20">
        <v>0</v>
      </c>
      <c r="AJ146" s="20">
        <v>3</v>
      </c>
      <c r="AK146" s="20">
        <v>2</v>
      </c>
      <c r="AL146" s="10">
        <f>MAX(1,SUMIFS(INDEX(választott_kasztok,,10),INDEX(választott_kasztok,,1),$L146))*(k6dobás+0)</f>
        <v>6</v>
      </c>
      <c r="AM146" s="10">
        <f>MAX(10,SUMIFS(INDEX(választott_kasztok,,10),INDEX(választott_kasztok,,1),$L146)*10)</f>
        <v>10</v>
      </c>
      <c r="AN146" s="20" t="s">
        <v>98</v>
      </c>
      <c r="AO146" s="208"/>
      <c r="AP146" s="33">
        <v>0</v>
      </c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117">
        <f>300001+MAX(0,váltás_kezdet-13)*80000</f>
        <v>300001</v>
      </c>
      <c r="BB146" s="17">
        <f>MAX(SUMIFS(INDEX(dobások,,2),INDEX(dobások,,1),BX146)+SUMIFS(INDEX(fajok,,3),INDEX(fajok,,1),választott_faj),IF(AND(többes_kaszt=iker_kaszt,váltás_kezdet=1,választott_kaszt_1=$L146),SUMIFS(INDEX(kasztok,,43),INDEX(kasztok,,1),választott_kaszt_2),0))</f>
        <v>10</v>
      </c>
      <c r="BC146" s="17">
        <f>MAX(SUMIFS(INDEX(dobások,,2),INDEX(dobások,,1),BY146)+SUMIFS(INDEX(fajok,,4),INDEX(fajok,,1),választott_faj),IF(AND(többes_kaszt=iker_kaszt,váltás_kezdet=1,választott_kaszt_1=$L146),SUMIFS(INDEX(kasztok,,44),INDEX(kasztok,,1),választott_kaszt_2),0))</f>
        <v>11</v>
      </c>
      <c r="BD146" s="17">
        <f>MAX(SUMIFS(INDEX(dobások,,2),INDEX(dobások,,1),BZ146)+SUMIFS(INDEX(fajok,,5),INDEX(fajok,,1),választott_faj),IF(AND(többes_kaszt=iker_kaszt,váltás_kezdet=1,választott_kaszt_1=$L146),SUMIFS(INDEX(kasztok,,45),INDEX(kasztok,,1),választott_kaszt_2),0))</f>
        <v>11</v>
      </c>
      <c r="BE146" s="17">
        <f>MAX(SUMIFS(INDEX(dobások,,2),INDEX(dobások,,1),CA146)+SUMIFS(INDEX(fajok,,6),INDEX(fajok,,1),választott_faj),IF(AND(többes_kaszt=iker_kaszt,váltás_kezdet=1,választott_kaszt_1=$L146),SUMIFS(INDEX(kasztok,,46),INDEX(kasztok,,1),választott_kaszt_2),0))</f>
        <v>10</v>
      </c>
      <c r="BF146" s="17">
        <f>MAX(SUMIFS(INDEX(dobások,,2),INDEX(dobások,,1),CB146)+SUMIFS(INDEX(fajok,,7),INDEX(fajok,,1),választott_faj),IF(AND(többes_kaszt=iker_kaszt,váltás_kezdet=1,választott_kaszt_1=$L146),SUMIFS(INDEX(kasztok,,47),INDEX(kasztok,,1),választott_kaszt_2),0))</f>
        <v>11</v>
      </c>
      <c r="BG146" s="17">
        <f>MAX(SUMIFS(INDEX(dobások,,2),INDEX(dobások,,1),CC146)+SUMIFS(INDEX(fajok,,8),INDEX(fajok,,1),választott_faj),IF(AND(többes_kaszt=iker_kaszt,váltás_kezdet=1,választott_kaszt_1=$L146),SUMIFS(INDEX(kasztok,,48),INDEX(kasztok,,1),választott_kaszt_2),0))</f>
        <v>10</v>
      </c>
      <c r="BH146" s="17">
        <f>MAX(SUMIFS(INDEX(dobások,,2),INDEX(dobások,,1),CD146)+SUMIFS(INDEX(fajok,,9),INDEX(fajok,,1),választott_faj),IF(AND(többes_kaszt=iker_kaszt,váltás_kezdet=1,választott_kaszt_1=$L146),SUMIFS(INDEX(kasztok,,49),INDEX(kasztok,,1),választott_kaszt_2),0))</f>
        <v>16</v>
      </c>
      <c r="BI146" s="17">
        <f>MAX(SUMIFS(INDEX(dobások,,2),INDEX(dobások,,1),CE146),IF(AND(többes_kaszt=iker_kaszt,váltás_kezdet=1,választott_kaszt_1=$L146),SUMIFS(INDEX(kasztok,,50),INDEX(kasztok,,1),választott_kaszt_2),0))</f>
        <v>16</v>
      </c>
      <c r="BJ146" s="17">
        <f>MAX(SUMIFS(INDEX(dobások,,2),INDEX(dobások,,1),CF146)+SUMIFS(INDEX(fajok,,10),INDEX(fajok,,1),választott_faj),IF(AND(többes_kaszt=iker_kaszt,váltás_kezdet=1,választott_kaszt_1=$L146),SUMIFS(INDEX(kasztok,,51),INDEX(kasztok,,1),választott_kaszt_2),0))</f>
        <v>16</v>
      </c>
      <c r="BK146" s="17">
        <f>MAX(SUMIFS(INDEX(dobások,,2),INDEX(dobások,,1),CG146),IF(AND(többes_kaszt=iker_kaszt,váltás_kezdet=1,választott_kaszt_1=$L146),SUMIFS(INDEX(kasztok,,52),INDEX(kasztok,,1),választott_kaszt_2),0))</f>
        <v>13</v>
      </c>
      <c r="BL146" s="17">
        <f>MAX(0,SUM(tulajdonságok)-SUM($BB146:$BK146))</f>
        <v>0</v>
      </c>
      <c r="BM146" s="13">
        <f t="shared" si="261"/>
        <v>0</v>
      </c>
      <c r="BN146" s="12"/>
      <c r="BO146" s="12"/>
      <c r="BP146" s="12"/>
      <c r="BQ146" s="12"/>
      <c r="BR146" s="12"/>
      <c r="BS146" s="12"/>
      <c r="BT146" s="12" t="s">
        <v>262</v>
      </c>
      <c r="BU146" s="12" t="s">
        <v>262</v>
      </c>
      <c r="BV146" s="12" t="s">
        <v>262</v>
      </c>
      <c r="BW146" s="51"/>
      <c r="BX146" s="12" t="s">
        <v>128</v>
      </c>
      <c r="BY146" s="12" t="s">
        <v>129</v>
      </c>
      <c r="BZ146" s="12" t="s">
        <v>129</v>
      </c>
      <c r="CA146" s="12" t="s">
        <v>128</v>
      </c>
      <c r="CB146" s="12" t="s">
        <v>129</v>
      </c>
      <c r="CC146" s="12" t="s">
        <v>128</v>
      </c>
      <c r="CD146" s="12" t="s">
        <v>134</v>
      </c>
      <c r="CE146" s="12" t="s">
        <v>134</v>
      </c>
      <c r="CF146" s="12" t="s">
        <v>134</v>
      </c>
      <c r="CG146" s="12" t="s">
        <v>131</v>
      </c>
      <c r="CH146" s="20">
        <v>5</v>
      </c>
      <c r="CI146" s="10">
        <v>18</v>
      </c>
      <c r="CJ146" s="148"/>
      <c r="CK146" s="148"/>
    </row>
    <row r="147" spans="1:89">
      <c r="A147" s="148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0" t="s">
        <v>1147</v>
      </c>
      <c r="M147" s="33">
        <v>0</v>
      </c>
      <c r="N147" s="33">
        <v>231</v>
      </c>
      <c r="O147" s="33">
        <v>501</v>
      </c>
      <c r="P147" s="33">
        <v>1001</v>
      </c>
      <c r="Q147" s="33">
        <v>2201</v>
      </c>
      <c r="R147" s="33">
        <v>5001</v>
      </c>
      <c r="S147" s="33">
        <v>10001</v>
      </c>
      <c r="T147" s="33">
        <v>18001</v>
      </c>
      <c r="U147" s="33">
        <v>35001</v>
      </c>
      <c r="V147" s="33">
        <v>70001</v>
      </c>
      <c r="W147" s="33">
        <v>150001</v>
      </c>
      <c r="X147" s="33">
        <v>200001</v>
      </c>
      <c r="Y147" s="34">
        <f>300001+MAX(0,SUMIFS(INDEX(választott_kasztok,,10),INDEX(választott_kasztok,,1),$L147)-13)*80000</f>
        <v>300001</v>
      </c>
      <c r="Z147" s="20">
        <v>3</v>
      </c>
      <c r="AA147" s="20">
        <v>15</v>
      </c>
      <c r="AB147" s="20">
        <v>70</v>
      </c>
      <c r="AC147" s="20">
        <v>20</v>
      </c>
      <c r="AD147" s="10">
        <f>MAX(5,SUMIFS(INDEX(választott_kasztok,,10),INDEX(választott_kasztok,,1),$L147)*5)</f>
        <v>5</v>
      </c>
      <c r="AE147" s="10">
        <f t="shared" si="260"/>
        <v>1</v>
      </c>
      <c r="AF147" s="10">
        <f t="shared" si="260"/>
        <v>1</v>
      </c>
      <c r="AG147" s="20">
        <f>IF(AND(többes_kaszt=iker_kaszt,váltás_kezdet=0,váltás_kezdet&lt;&gt;""),0,7)</f>
        <v>7</v>
      </c>
      <c r="AH147" s="10">
        <f>MAX(0,IF(választott_kaszt_1=$L147,IF(váltás_kezdet="",VLOOKUP($L147,választott_kasztok,10,FALSE)*7,MIN(VLOOKUP($L147,választott_kasztok,10,FALSE),váltás_kezdet)*7+IF(többes_kaszt=iker_kaszt,MAX(0,VLOOKUP($L147,választott_kasztok,10,FALSE)-váltás_kezdet),0)+IF(többes_kaszt=váltott_kaszt,MAX(0,váltás_kezdet-VLOOKUP($L147,választott_kasztok,10,FALSE))*7)),0)+IF(választott_kaszt_2=$L147,VLOOKUP($L147,választott_kasztok,10,FALSE)*IF(többes_kaszt=iker_kaszt,1,7),0))</f>
        <v>0</v>
      </c>
      <c r="AI147" s="20">
        <v>0</v>
      </c>
      <c r="AJ147" s="20">
        <v>4</v>
      </c>
      <c r="AK147" s="20">
        <v>5</v>
      </c>
      <c r="AL147" s="10">
        <f>MAX(1,SUMIFS(INDEX(választott_kasztok,,10),INDEX(választott_kasztok,,1),$L147))*(k6dobás+2)</f>
        <v>8</v>
      </c>
      <c r="AM147" s="10">
        <f>MAX(7,SUMIFS(INDEX(választott_kasztok,,10),INDEX(választott_kasztok,,1),$L147)*7)</f>
        <v>7</v>
      </c>
      <c r="AN147" s="20" t="s">
        <v>1183</v>
      </c>
      <c r="AO147" s="209"/>
      <c r="AP147" s="33">
        <v>0</v>
      </c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117">
        <f>300001+MAX(0,váltás_kezdet-13)*80000</f>
        <v>300001</v>
      </c>
      <c r="BB147" s="17">
        <f>MAX(SUMIFS(INDEX(dobások,,2),INDEX(dobások,,1),BX147)+SUMIFS(INDEX(fajok,,3),INDEX(fajok,,1),választott_faj),IF(AND(többes_kaszt=iker_kaszt,váltás_kezdet=1,választott_kaszt_1=$L147),SUMIFS(INDEX(kasztok,,43),INDEX(kasztok,,1),választott_kaszt_2),0))</f>
        <v>10</v>
      </c>
      <c r="BC147" s="17">
        <f>MAX(SUMIFS(INDEX(dobások,,2),INDEX(dobások,,1),BY147)+SUMIFS(INDEX(fajok,,4),INDEX(fajok,,1),választott_faj),IF(AND(többes_kaszt=iker_kaszt,váltás_kezdet=1,választott_kaszt_1=$L147),SUMIFS(INDEX(kasztok,,44),INDEX(kasztok,,1),választott_kaszt_2),0))</f>
        <v>11</v>
      </c>
      <c r="BD147" s="17">
        <f>MAX(SUMIFS(INDEX(dobások,,2),INDEX(dobások,,1),BZ147)+SUMIFS(INDEX(fajok,,5),INDEX(fajok,,1),választott_faj),IF(AND(többes_kaszt=iker_kaszt,váltás_kezdet=1,választott_kaszt_1=$L147),SUMIFS(INDEX(kasztok,,45),INDEX(kasztok,,1),választott_kaszt_2),0))</f>
        <v>11</v>
      </c>
      <c r="BE147" s="17">
        <f>MAX(SUMIFS(INDEX(dobások,,2),INDEX(dobások,,1),CA147)+SUMIFS(INDEX(fajok,,6),INDEX(fajok,,1),választott_faj),IF(AND(többes_kaszt=iker_kaszt,váltás_kezdet=1,választott_kaszt_1=$L147),SUMIFS(INDEX(kasztok,,46),INDEX(kasztok,,1),választott_kaszt_2),0))</f>
        <v>10</v>
      </c>
      <c r="BF147" s="17">
        <f>MAX(SUMIFS(INDEX(dobások,,2),INDEX(dobások,,1),CB147)+SUMIFS(INDEX(fajok,,7),INDEX(fajok,,1),választott_faj),IF(AND(többes_kaszt=iker_kaszt,váltás_kezdet=1,választott_kaszt_1=$L147),SUMIFS(INDEX(kasztok,,47),INDEX(kasztok,,1),választott_kaszt_2),0))</f>
        <v>11</v>
      </c>
      <c r="BG147" s="17">
        <f>MAX(SUMIFS(INDEX(dobások,,2),INDEX(dobások,,1),CC147)+SUMIFS(INDEX(fajok,,8),INDEX(fajok,,1),választott_faj),IF(AND(többes_kaszt=iker_kaszt,váltás_kezdet=1,választott_kaszt_1=$L147),SUMIFS(INDEX(kasztok,,48),INDEX(kasztok,,1),választott_kaszt_2),0))</f>
        <v>10</v>
      </c>
      <c r="BH147" s="17">
        <f>MAX(SUMIFS(INDEX(dobások,,2),INDEX(dobások,,1),CD147)+SUMIFS(INDEX(fajok,,9),INDEX(fajok,,1),választott_faj),IF(AND(többes_kaszt=iker_kaszt,váltás_kezdet=1,választott_kaszt_1=$L147),SUMIFS(INDEX(kasztok,,49),INDEX(kasztok,,1),választott_kaszt_2),0))</f>
        <v>16</v>
      </c>
      <c r="BI147" s="17">
        <f>MAX(SUMIFS(INDEX(dobások,,2),INDEX(dobások,,1),CE147),IF(AND(többes_kaszt=iker_kaszt,váltás_kezdet=1,választott_kaszt_1=$L147),SUMIFS(INDEX(kasztok,,50),INDEX(kasztok,,1),választott_kaszt_2),0))</f>
        <v>16</v>
      </c>
      <c r="BJ147" s="17">
        <f>MAX(SUMIFS(INDEX(dobások,,2),INDEX(dobások,,1),CF147)+SUMIFS(INDEX(fajok,,10),INDEX(fajok,,1),választott_faj),IF(AND(többes_kaszt=iker_kaszt,váltás_kezdet=1,választott_kaszt_1=$L147),SUMIFS(INDEX(kasztok,,51),INDEX(kasztok,,1),választott_kaszt_2),0))</f>
        <v>16</v>
      </c>
      <c r="BK147" s="17">
        <f>MAX(SUMIFS(INDEX(dobások,,2),INDEX(dobások,,1),CG147),IF(AND(többes_kaszt=iker_kaszt,váltás_kezdet=1,választott_kaszt_1=$L147),SUMIFS(INDEX(kasztok,,52),INDEX(kasztok,,1),választott_kaszt_2),0))</f>
        <v>13</v>
      </c>
      <c r="BL147" s="17">
        <f>MAX(0,SUM(tulajdonságok)-SUM($BB147:$BK147))</f>
        <v>0</v>
      </c>
      <c r="BM147" s="13">
        <f>MAX(0,erő-(SUMIFS(INDEX(dobások,,4),INDEX(dobások,,1),BX147)+SUMIFS(INDEX(fajok,,3),INDEX(fajok,,1),választott_faj)))+MAX(0,gyorsaság-(SUMIFS(INDEX(dobások,,4),INDEX(dobások,,1),BY147)+SUMIFS(INDEX(fajok,,4),INDEX(fajok,,1),választott_faj)))+MAX(0,ügyesség-(SUMIFS(INDEX(dobások,,4),INDEX(dobások,,1),BZ147)+SUMIFS(INDEX(fajok,,5),INDEX(fajok,,1),választott_faj)))+MAX(0,állóképesség-(SUMIFS(INDEX(dobások,,4),INDEX(dobások,,1),CA147)+SUMIFS(INDEX(fajok,,6),INDEX(fajok,,1),választott_faj)))+MAX(0,egészség-(SUMIFS(INDEX(dobások,,4),INDEX(dobások,,1),CB147)+SUMIFS(INDEX(fajok,,7),INDEX(fajok,,1),választott_faj)))+MAX(0,szépség-(SUMIFS(INDEX(dobások,,4),INDEX(dobások,,1),CC147)+SUMIFS(INDEX(fajok,,8),INDEX(fajok,,1),választott_faj)))+MAX(0,intelligencia-(SUMIFS(INDEX(dobások,,4),INDEX(dobások,,1),CD147)+SUMIFS(INDEX(fajok,,9),INDEX(fajok,,1),választott_faj)))+MAX(0,akaraterő-SUMIFS(INDEX(dobások,,4),INDEX(dobások,,1),CE147))+MAX(0,asztrál-(SUMIFS(INDEX(dobások,,4),INDEX(dobások,,1),CF147)+SUMIFS(INDEX(fajok,,10),INDEX(fajok,,1),választott_faj)))+MAX(0,érzékelés-SUMIFS(INDEX(dobások,,4),INDEX(dobások,,1),CG147))</f>
        <v>0</v>
      </c>
      <c r="BN147" s="12"/>
      <c r="BO147" s="12"/>
      <c r="BP147" s="12"/>
      <c r="BQ147" s="12"/>
      <c r="BR147" s="12"/>
      <c r="BS147" s="12"/>
      <c r="BT147" s="12" t="s">
        <v>262</v>
      </c>
      <c r="BU147" s="12" t="s">
        <v>262</v>
      </c>
      <c r="BV147" s="12" t="s">
        <v>262</v>
      </c>
      <c r="BW147" s="51"/>
      <c r="BX147" s="12" t="s">
        <v>128</v>
      </c>
      <c r="BY147" s="12" t="s">
        <v>129</v>
      </c>
      <c r="BZ147" s="12" t="s">
        <v>129</v>
      </c>
      <c r="CA147" s="12" t="s">
        <v>128</v>
      </c>
      <c r="CB147" s="12" t="s">
        <v>129</v>
      </c>
      <c r="CC147" s="12" t="s">
        <v>128</v>
      </c>
      <c r="CD147" s="12" t="s">
        <v>134</v>
      </c>
      <c r="CE147" s="12" t="s">
        <v>134</v>
      </c>
      <c r="CF147" s="12" t="s">
        <v>134</v>
      </c>
      <c r="CG147" s="12" t="s">
        <v>131</v>
      </c>
      <c r="CH147" s="10">
        <v>3</v>
      </c>
      <c r="CI147" s="10">
        <v>18</v>
      </c>
      <c r="CJ147" s="148"/>
      <c r="CK147" s="148"/>
    </row>
    <row r="148" spans="1:89">
      <c r="A148" s="148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0" t="s">
        <v>1146</v>
      </c>
      <c r="M148" s="33">
        <v>0</v>
      </c>
      <c r="N148" s="33">
        <v>201</v>
      </c>
      <c r="O148" s="33">
        <v>401</v>
      </c>
      <c r="P148" s="33">
        <v>801</v>
      </c>
      <c r="Q148" s="33">
        <v>1601</v>
      </c>
      <c r="R148" s="33">
        <v>4001</v>
      </c>
      <c r="S148" s="33">
        <v>8001</v>
      </c>
      <c r="T148" s="33">
        <v>16001</v>
      </c>
      <c r="U148" s="33">
        <v>32001</v>
      </c>
      <c r="V148" s="33">
        <v>59001</v>
      </c>
      <c r="W148" s="33">
        <v>90501</v>
      </c>
      <c r="X148" s="33">
        <v>140001</v>
      </c>
      <c r="Y148" s="34">
        <f>190001+MAX(0,SUMIFS(INDEX(választott_kasztok,,10),INDEX(választott_kasztok,,1),$L148)-13)*55000</f>
        <v>190001</v>
      </c>
      <c r="Z148" s="20">
        <v>5</v>
      </c>
      <c r="AA148" s="20">
        <v>18</v>
      </c>
      <c r="AB148" s="20">
        <v>75</v>
      </c>
      <c r="AC148" s="20">
        <v>0</v>
      </c>
      <c r="AD148" s="20">
        <f>MAX(7,SUMIFS(INDEX(választott_kasztok,,10),INDEX(választott_kasztok,,1),$L148)*7)</f>
        <v>7</v>
      </c>
      <c r="AE148" s="20">
        <f>MAX(2,SUMIFS(INDEX(választott_kasztok,,10),INDEX(választott_kasztok,,1),$L148)*2)</f>
        <v>2</v>
      </c>
      <c r="AF148" s="20">
        <f>MAX(2,SUMIFS(INDEX(választott_kasztok,,10),INDEX(választott_kasztok,,1),$L148)*2)</f>
        <v>2</v>
      </c>
      <c r="AG148" s="20">
        <f>IF(AND(többes_kaszt=iker_kaszt,váltás_kezdet=0,váltás_kezdet&lt;&gt;""),0,4)</f>
        <v>4</v>
      </c>
      <c r="AH148" s="20">
        <f>MAX(0,IF(választott_kaszt_1=$L148,IF(váltás_kezdet="",VLOOKUP($L148,választott_kasztok,10,FALSE)*6,MIN(VLOOKUP($L148,választott_kasztok,10,FALSE),váltás_kezdet)*6+IF(többes_kaszt=iker_kaszt,MAX(0,VLOOKUP($L148,választott_kasztok,10,FALSE)-váltás_kezdet),0)+IF(többes_kaszt=váltott_kaszt,MAX(0,váltás_kezdet-VLOOKUP($L148,választott_kasztok,10,FALSE))*6)),0)+IF(választott_kaszt_2=$L148,VLOOKUP($L148,választott_kasztok,10,FALSE)*IF(többes_kaszt=iker_kaszt,1,6),0))</f>
        <v>0</v>
      </c>
      <c r="AI148" s="10">
        <f>MAX(10,IF(AND(többes_kaszt=váltott_kaszt,választott_kaszt_1=$L148),váltás_kezdet*10,SUMIFS(INDEX(választott_kasztok,,10),INDEX(választott_kasztok,,1),$L148)*10))</f>
        <v>10</v>
      </c>
      <c r="AJ148" s="20">
        <v>4</v>
      </c>
      <c r="AK148" s="20">
        <v>5</v>
      </c>
      <c r="AL148" s="20">
        <f>MAX(1,SUMIFS(INDEX(választott_kasztok,,10),INDEX(választott_kasztok,,1),$L148))*(k6dobás+2)</f>
        <v>8</v>
      </c>
      <c r="AM148" s="20">
        <f>MAX(7,SUMIFS(INDEX(választott_kasztok,,10),INDEX(választott_kasztok,,1),$L148)*7+MAX(0,SUMIFS(INDEX(választott_kasztok,,10),INDEX(választott_kasztok,,1),$L148)-4))</f>
        <v>7</v>
      </c>
      <c r="AN148" s="20" t="s">
        <v>1183</v>
      </c>
      <c r="AO148" s="209"/>
      <c r="AP148" s="34">
        <v>0</v>
      </c>
      <c r="AQ148" s="57"/>
      <c r="AR148" s="57">
        <v>10</v>
      </c>
      <c r="AS148" s="57">
        <v>20</v>
      </c>
      <c r="AT148" s="57"/>
      <c r="AU148" s="57"/>
      <c r="AV148" s="57"/>
      <c r="AW148" s="57"/>
      <c r="AX148" s="57"/>
      <c r="AY148" s="57"/>
      <c r="AZ148" s="57"/>
      <c r="BA148" s="117">
        <f>190001+MAX(0,váltás_kezdet-13)*55000</f>
        <v>190001</v>
      </c>
      <c r="BB148" s="31">
        <f t="shared" ref="BB148" si="262">MAX(SUMIFS(INDEX(dobások,,2),INDEX(dobások,,1),BX148)+SUMIFS(INDEX(fajok,,3),INDEX(fajok,,1),választott_faj),IF(AND(többes_kaszt=iker_kaszt,váltás_kezdet=1,választott_kaszt_1=$L148),SUMIFS(INDEX(kasztok,,43),INDEX(kasztok,,1),választott_kaszt_2),0))</f>
        <v>10</v>
      </c>
      <c r="BC148" s="31">
        <f t="shared" ref="BC148" si="263">MAX(SUMIFS(INDEX(dobások,,2),INDEX(dobások,,1),BY148)+SUMIFS(INDEX(fajok,,4),INDEX(fajok,,1),választott_faj),IF(AND(többes_kaszt=iker_kaszt,váltás_kezdet=1,választott_kaszt_1=$L148),SUMIFS(INDEX(kasztok,,44),INDEX(kasztok,,1),választott_kaszt_2),0))</f>
        <v>13</v>
      </c>
      <c r="BD148" s="31">
        <f t="shared" ref="BD148" si="264">MAX(SUMIFS(INDEX(dobások,,2),INDEX(dobások,,1),BZ148)+SUMIFS(INDEX(fajok,,5),INDEX(fajok,,1),választott_faj),IF(AND(többes_kaszt=iker_kaszt,váltás_kezdet=1,választott_kaszt_1=$L148),SUMIFS(INDEX(kasztok,,45),INDEX(kasztok,,1),választott_kaszt_2),0))</f>
        <v>14</v>
      </c>
      <c r="BE148" s="31">
        <f t="shared" ref="BE148" si="265">MAX(SUMIFS(INDEX(dobások,,2),INDEX(dobások,,1),CA148)+SUMIFS(INDEX(fajok,,6),INDEX(fajok,,1),választott_faj),IF(AND(többes_kaszt=iker_kaszt,váltás_kezdet=1,választott_kaszt_1=$L148),SUMIFS(INDEX(kasztok,,46),INDEX(kasztok,,1),választott_kaszt_2),0))</f>
        <v>10</v>
      </c>
      <c r="BF148" s="31">
        <f t="shared" ref="BF148" si="266">MAX(SUMIFS(INDEX(dobások,,2),INDEX(dobások,,1),CB148)+SUMIFS(INDEX(fajok,,7),INDEX(fajok,,1),választott_faj),IF(AND(többes_kaszt=iker_kaszt,váltás_kezdet=1,választott_kaszt_1=$L148),SUMIFS(INDEX(kasztok,,47),INDEX(kasztok,,1),választott_kaszt_2),0))</f>
        <v>10</v>
      </c>
      <c r="BG148" s="31">
        <f t="shared" ref="BG148" si="267">MAX(SUMIFS(INDEX(dobások,,2),INDEX(dobások,,1),CC148)+SUMIFS(INDEX(fajok,,8),INDEX(fajok,,1),választott_faj),IF(AND(többes_kaszt=iker_kaszt,váltás_kezdet=1,választott_kaszt_1=$L148),SUMIFS(INDEX(kasztok,,48),INDEX(kasztok,,1),választott_kaszt_2),0))</f>
        <v>11</v>
      </c>
      <c r="BH148" s="31">
        <f t="shared" ref="BH148" si="268">MAX(SUMIFS(INDEX(dobások,,2),INDEX(dobások,,1),CD148)+SUMIFS(INDEX(fajok,,9),INDEX(fajok,,1),választott_faj),IF(AND(többes_kaszt=iker_kaszt,váltás_kezdet=1,választott_kaszt_1=$L148),SUMIFS(INDEX(kasztok,,49),INDEX(kasztok,,1),választott_kaszt_2),0))</f>
        <v>16</v>
      </c>
      <c r="BI148" s="31">
        <f t="shared" ref="BI148" si="269">MAX(SUMIFS(INDEX(dobások,,2),INDEX(dobások,,1),CE148),IF(AND(többes_kaszt=iker_kaszt,váltás_kezdet=1,választott_kaszt_1=$L148),SUMIFS(INDEX(kasztok,,50),INDEX(kasztok,,1),választott_kaszt_2),0))</f>
        <v>13</v>
      </c>
      <c r="BJ148" s="31">
        <f t="shared" ref="BJ148" si="270">MAX(SUMIFS(INDEX(dobások,,2),INDEX(dobások,,1),CF148)+SUMIFS(INDEX(fajok,,10),INDEX(fajok,,1),választott_faj),IF(AND(többes_kaszt=iker_kaszt,váltás_kezdet=1,választott_kaszt_1=$L148),SUMIFS(INDEX(kasztok,,51),INDEX(kasztok,,1),választott_kaszt_2),0))</f>
        <v>16</v>
      </c>
      <c r="BK148" s="31">
        <f t="shared" ref="BK148" si="271">MAX(SUMIFS(INDEX(dobások,,2),INDEX(dobások,,1),CG148),IF(AND(többes_kaszt=iker_kaszt,váltás_kezdet=1,választott_kaszt_1=$L148),SUMIFS(INDEX(kasztok,,52),INDEX(kasztok,,1),választott_kaszt_2),0))</f>
        <v>11</v>
      </c>
      <c r="BL148" s="31">
        <f t="shared" si="258"/>
        <v>0</v>
      </c>
      <c r="BM148" s="200">
        <f t="shared" si="261"/>
        <v>0</v>
      </c>
      <c r="BN148" s="198"/>
      <c r="BO148" s="198"/>
      <c r="BP148" s="198" t="s">
        <v>262</v>
      </c>
      <c r="BQ148" s="198"/>
      <c r="BR148" s="198"/>
      <c r="BS148" s="198"/>
      <c r="BT148" s="198"/>
      <c r="BU148" s="198"/>
      <c r="BV148" s="198" t="s">
        <v>262</v>
      </c>
      <c r="BW148" s="199"/>
      <c r="BX148" s="198" t="s">
        <v>128</v>
      </c>
      <c r="BY148" s="12" t="s">
        <v>131</v>
      </c>
      <c r="BZ148" s="12" t="s">
        <v>132</v>
      </c>
      <c r="CA148" s="12" t="s">
        <v>128</v>
      </c>
      <c r="CB148" s="12" t="s">
        <v>128</v>
      </c>
      <c r="CC148" s="12" t="s">
        <v>129</v>
      </c>
      <c r="CD148" s="12" t="s">
        <v>134</v>
      </c>
      <c r="CE148" s="12" t="s">
        <v>131</v>
      </c>
      <c r="CF148" s="12" t="s">
        <v>134</v>
      </c>
      <c r="CG148" s="12" t="s">
        <v>129</v>
      </c>
      <c r="CH148" s="20">
        <v>3</v>
      </c>
      <c r="CI148" s="20">
        <v>18</v>
      </c>
      <c r="CJ148" s="148"/>
      <c r="CK148" s="148"/>
    </row>
    <row r="149" spans="1:89">
      <c r="A149" s="148"/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261" t="s">
        <v>336</v>
      </c>
      <c r="M149" s="33">
        <v>0</v>
      </c>
      <c r="N149" s="33">
        <v>161</v>
      </c>
      <c r="O149" s="33">
        <v>321</v>
      </c>
      <c r="P149" s="33">
        <v>641</v>
      </c>
      <c r="Q149" s="33">
        <v>1441</v>
      </c>
      <c r="R149" s="34">
        <v>2801</v>
      </c>
      <c r="S149" s="33">
        <v>5601</v>
      </c>
      <c r="T149" s="33">
        <v>10001</v>
      </c>
      <c r="U149" s="33">
        <v>20001</v>
      </c>
      <c r="V149" s="33">
        <v>40001</v>
      </c>
      <c r="W149" s="33">
        <v>60001</v>
      </c>
      <c r="X149" s="33">
        <v>80001</v>
      </c>
      <c r="Y149" s="34">
        <f>112001+MAX(0,SUMIFS(INDEX(választott_kasztok,,10),INDEX(választott_kasztok,,1),$L149)-13)*31200</f>
        <v>112001</v>
      </c>
      <c r="Z149" s="10">
        <v>9</v>
      </c>
      <c r="AA149" s="10">
        <v>20</v>
      </c>
      <c r="AB149" s="10">
        <v>75</v>
      </c>
      <c r="AC149" s="10">
        <v>0</v>
      </c>
      <c r="AD149" s="10">
        <f>MAX(11,SUMIFS(INDEX(választott_kasztok,,10),INDEX(választott_kasztok,,1),$L149)*11)</f>
        <v>11</v>
      </c>
      <c r="AE149" s="10">
        <f>MAX(3,SUMIFS(INDEX(választott_kasztok,,10),INDEX(választott_kasztok,,1),$L149)*3)</f>
        <v>3</v>
      </c>
      <c r="AF149" s="10">
        <f>MAX(3,SUMIFS(INDEX(választott_kasztok,,10),INDEX(választott_kasztok,,1),$L149)*3)</f>
        <v>3</v>
      </c>
      <c r="AG149" s="20">
        <f>IF(AND(többes_kaszt=iker_kaszt,váltás_kezdet=0,váltás_kezdet&lt;&gt;""),0,10)</f>
        <v>10</v>
      </c>
      <c r="AH149" s="10">
        <f>MAX(0,IF(választott_kaszt_1=$L149,IF(váltás_kezdet="",VLOOKUP($L149,választott_kasztok,10,FALSE)*14,MIN(VLOOKUP($L149,választott_kasztok,10,FALSE),váltás_kezdet)*14+IF(többes_kaszt=iker_kaszt,MAX(0,VLOOKUP($L149,választott_kasztok,10,FALSE)-váltás_kezdet),0)+IF(többes_kaszt=váltott_kaszt,MAX(0,váltás_kezdet-VLOOKUP($L149,választott_kasztok,10,FALSE))*14)),0)+IF(választott_kaszt_2=$L149,VLOOKUP($L149,választott_kasztok,10,FALSE)*IF(többes_kaszt=iker_kaszt,1,14),0))</f>
        <v>0</v>
      </c>
      <c r="AI149" s="10">
        <v>0</v>
      </c>
      <c r="AJ149" s="10">
        <v>7</v>
      </c>
      <c r="AK149" s="10">
        <v>6</v>
      </c>
      <c r="AL149" s="10">
        <f>MAX(1,SUMIFS(INDEX(választott_kasztok,,10),INDEX(választott_kasztok,,1),$L149))*(k6dobás+4)</f>
        <v>10</v>
      </c>
      <c r="AM149" s="10"/>
      <c r="AN149" s="20" t="s">
        <v>1183</v>
      </c>
      <c r="AO149" s="209" t="str">
        <f>IF(tanultMfkaszt=0,"00",IF(INDEX(választott_kasztok,tanultMfkaszt,1)=$L149,TEXT(tanultMfTSZ,"00"),"00"))&amp;"0101"</f>
        <v>000101</v>
      </c>
      <c r="AP149" s="33">
        <v>0</v>
      </c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117">
        <f>112001+MAX(0,váltás_kezdet-13)*31200</f>
        <v>112001</v>
      </c>
      <c r="BB149" s="17">
        <f t="shared" si="246"/>
        <v>16</v>
      </c>
      <c r="BC149" s="17">
        <f t="shared" si="247"/>
        <v>13</v>
      </c>
      <c r="BD149" s="17">
        <f t="shared" si="248"/>
        <v>13</v>
      </c>
      <c r="BE149" s="17">
        <f t="shared" si="249"/>
        <v>14</v>
      </c>
      <c r="BF149" s="116">
        <f t="shared" si="250"/>
        <v>16</v>
      </c>
      <c r="BG149" s="17">
        <f t="shared" si="251"/>
        <v>11</v>
      </c>
      <c r="BH149" s="17">
        <f t="shared" si="252"/>
        <v>11</v>
      </c>
      <c r="BI149" s="17">
        <f t="shared" si="253"/>
        <v>13</v>
      </c>
      <c r="BJ149" s="17">
        <f t="shared" si="254"/>
        <v>11</v>
      </c>
      <c r="BK149" s="17">
        <f t="shared" si="255"/>
        <v>13</v>
      </c>
      <c r="BL149" s="17">
        <f t="shared" si="258"/>
        <v>0</v>
      </c>
      <c r="BM149" s="13">
        <f t="shared" si="256"/>
        <v>0</v>
      </c>
      <c r="BN149" s="12" t="s">
        <v>262</v>
      </c>
      <c r="BO149" s="12" t="s">
        <v>262</v>
      </c>
      <c r="BP149" s="12" t="s">
        <v>262</v>
      </c>
      <c r="BQ149" s="12" t="s">
        <v>262</v>
      </c>
      <c r="BR149" s="12"/>
      <c r="BS149" s="12"/>
      <c r="BT149" s="12"/>
      <c r="BU149" s="12"/>
      <c r="BV149" s="12"/>
      <c r="BW149" s="51"/>
      <c r="BX149" s="12" t="s">
        <v>134</v>
      </c>
      <c r="BY149" s="12" t="s">
        <v>131</v>
      </c>
      <c r="BZ149" s="12" t="s">
        <v>131</v>
      </c>
      <c r="CA149" s="12" t="s">
        <v>132</v>
      </c>
      <c r="CB149" s="12" t="s">
        <v>135</v>
      </c>
      <c r="CC149" s="12" t="s">
        <v>129</v>
      </c>
      <c r="CD149" s="12" t="s">
        <v>129</v>
      </c>
      <c r="CE149" s="12" t="s">
        <v>131</v>
      </c>
      <c r="CF149" s="12" t="s">
        <v>129</v>
      </c>
      <c r="CG149" s="12" t="s">
        <v>131</v>
      </c>
      <c r="CH149" s="10">
        <v>3</v>
      </c>
      <c r="CI149" s="10">
        <v>18</v>
      </c>
      <c r="CJ149" s="148"/>
      <c r="CK149" s="148"/>
    </row>
    <row r="150" spans="1:89">
      <c r="A150" s="148"/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261" t="s">
        <v>337</v>
      </c>
      <c r="M150" s="33">
        <v>0</v>
      </c>
      <c r="N150" s="33">
        <v>161</v>
      </c>
      <c r="O150" s="33">
        <v>321</v>
      </c>
      <c r="P150" s="33">
        <v>641</v>
      </c>
      <c r="Q150" s="33">
        <v>1441</v>
      </c>
      <c r="R150" s="34">
        <v>2801</v>
      </c>
      <c r="S150" s="33">
        <v>5601</v>
      </c>
      <c r="T150" s="33">
        <v>10001</v>
      </c>
      <c r="U150" s="33">
        <v>20001</v>
      </c>
      <c r="V150" s="33">
        <v>40001</v>
      </c>
      <c r="W150" s="33">
        <v>60001</v>
      </c>
      <c r="X150" s="33">
        <v>80001</v>
      </c>
      <c r="Y150" s="34">
        <f>112001+MAX(0,SUMIFS(INDEX(választott_kasztok,,10),INDEX(választott_kasztok,,1),$L150)-13)*31200</f>
        <v>112001</v>
      </c>
      <c r="Z150" s="10">
        <v>9</v>
      </c>
      <c r="AA150" s="10">
        <v>20</v>
      </c>
      <c r="AB150" s="10">
        <v>75</v>
      </c>
      <c r="AC150" s="10">
        <v>0</v>
      </c>
      <c r="AD150" s="10">
        <f>MAX(11,SUMIFS(INDEX(választott_kasztok,,10),INDEX(választott_kasztok,,1),$L150)*11)</f>
        <v>11</v>
      </c>
      <c r="AE150" s="10">
        <f>MAX(3,SUMIFS(INDEX(választott_kasztok,,10),INDEX(választott_kasztok,,1),$L150)*3)</f>
        <v>3</v>
      </c>
      <c r="AF150" s="10">
        <f>MAX(3,SUMIFS(INDEX(választott_kasztok,,10),INDEX(választott_kasztok,,1),$L150)*3)</f>
        <v>3</v>
      </c>
      <c r="AG150" s="20">
        <f>IF(AND(többes_kaszt=iker_kaszt,váltás_kezdet=0,váltás_kezdet&lt;&gt;""),0,10)</f>
        <v>10</v>
      </c>
      <c r="AH150" s="10">
        <f>MAX(0,IF(választott_kaszt_1=$L150,IF(váltás_kezdet="",VLOOKUP($L150,választott_kasztok,10,FALSE)*14,MIN(VLOOKUP($L150,választott_kasztok,10,FALSE),váltás_kezdet)*14+IF(többes_kaszt=iker_kaszt,MAX(0,VLOOKUP($L150,választott_kasztok,10,FALSE)-váltás_kezdet),0)+IF(többes_kaszt=váltott_kaszt,MAX(0,váltás_kezdet-VLOOKUP($L150,választott_kasztok,10,FALSE))*14)),0)+IF(választott_kaszt_2=$L150,VLOOKUP($L150,választott_kasztok,10,FALSE)*IF(többes_kaszt=iker_kaszt,1,14),0))</f>
        <v>0</v>
      </c>
      <c r="AI150" s="10">
        <v>0</v>
      </c>
      <c r="AJ150" s="10">
        <v>7</v>
      </c>
      <c r="AK150" s="10">
        <v>6</v>
      </c>
      <c r="AL150" s="10">
        <f>MAX(1,SUMIFS(INDEX(választott_kasztok,,10),INDEX(választott_kasztok,,1),$L150))*(k6dobás+4)</f>
        <v>10</v>
      </c>
      <c r="AM150" s="10"/>
      <c r="AN150" s="20" t="s">
        <v>1183</v>
      </c>
      <c r="AO150" s="209" t="str">
        <f>IF(tanultMfkaszt=0,"00",IF(INDEX(választott_kasztok,tanultMfkaszt,1)=$L150,TEXT(tanultMfTSZ,"00"),"00"))&amp;"0101"</f>
        <v>000101</v>
      </c>
      <c r="AP150" s="33">
        <v>0</v>
      </c>
      <c r="AQ150" s="56">
        <v>20</v>
      </c>
      <c r="AR150" s="56"/>
      <c r="AS150" s="56">
        <v>10</v>
      </c>
      <c r="AT150" s="56"/>
      <c r="AU150" s="56"/>
      <c r="AV150" s="56"/>
      <c r="AW150" s="56"/>
      <c r="AX150" s="56"/>
      <c r="AY150" s="56"/>
      <c r="AZ150" s="56"/>
      <c r="BA150" s="117">
        <f>112001+MAX(0,váltás_kezdet-13)*31200</f>
        <v>112001</v>
      </c>
      <c r="BB150" s="17">
        <f t="shared" si="246"/>
        <v>16</v>
      </c>
      <c r="BC150" s="17">
        <f t="shared" si="247"/>
        <v>13</v>
      </c>
      <c r="BD150" s="17">
        <f t="shared" si="248"/>
        <v>13</v>
      </c>
      <c r="BE150" s="17">
        <f t="shared" si="249"/>
        <v>14</v>
      </c>
      <c r="BF150" s="116">
        <f t="shared" si="250"/>
        <v>16</v>
      </c>
      <c r="BG150" s="17">
        <f t="shared" si="251"/>
        <v>11</v>
      </c>
      <c r="BH150" s="17">
        <f t="shared" si="252"/>
        <v>11</v>
      </c>
      <c r="BI150" s="17">
        <f t="shared" si="253"/>
        <v>13</v>
      </c>
      <c r="BJ150" s="17">
        <f t="shared" si="254"/>
        <v>11</v>
      </c>
      <c r="BK150" s="17">
        <f t="shared" si="255"/>
        <v>13</v>
      </c>
      <c r="BL150" s="17">
        <f t="shared" si="258"/>
        <v>0</v>
      </c>
      <c r="BM150" s="13">
        <f t="shared" si="256"/>
        <v>0</v>
      </c>
      <c r="BN150" s="12" t="s">
        <v>262</v>
      </c>
      <c r="BO150" s="12" t="s">
        <v>262</v>
      </c>
      <c r="BP150" s="12" t="s">
        <v>262</v>
      </c>
      <c r="BQ150" s="12" t="s">
        <v>262</v>
      </c>
      <c r="BR150" s="12"/>
      <c r="BS150" s="12"/>
      <c r="BT150" s="12"/>
      <c r="BU150" s="12"/>
      <c r="BV150" s="12"/>
      <c r="BW150" s="51"/>
      <c r="BX150" s="12" t="s">
        <v>134</v>
      </c>
      <c r="BY150" s="12" t="s">
        <v>131</v>
      </c>
      <c r="BZ150" s="12" t="s">
        <v>131</v>
      </c>
      <c r="CA150" s="12" t="s">
        <v>132</v>
      </c>
      <c r="CB150" s="12" t="s">
        <v>135</v>
      </c>
      <c r="CC150" s="12" t="s">
        <v>129</v>
      </c>
      <c r="CD150" s="12" t="s">
        <v>129</v>
      </c>
      <c r="CE150" s="12" t="s">
        <v>131</v>
      </c>
      <c r="CF150" s="12" t="s">
        <v>129</v>
      </c>
      <c r="CG150" s="12" t="s">
        <v>131</v>
      </c>
      <c r="CH150" s="10">
        <v>3</v>
      </c>
      <c r="CI150" s="10">
        <v>18</v>
      </c>
      <c r="CJ150" s="148"/>
      <c r="CK150" s="148"/>
    </row>
    <row r="151" spans="1:89">
      <c r="A151" s="148"/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261" t="s">
        <v>338</v>
      </c>
      <c r="M151" s="33">
        <v>0</v>
      </c>
      <c r="N151" s="33">
        <v>161</v>
      </c>
      <c r="O151" s="33">
        <v>321</v>
      </c>
      <c r="P151" s="33">
        <v>641</v>
      </c>
      <c r="Q151" s="33">
        <v>1441</v>
      </c>
      <c r="R151" s="34">
        <v>2801</v>
      </c>
      <c r="S151" s="33">
        <v>5601</v>
      </c>
      <c r="T151" s="33">
        <v>10001</v>
      </c>
      <c r="U151" s="33">
        <v>20001</v>
      </c>
      <c r="V151" s="33">
        <v>40001</v>
      </c>
      <c r="W151" s="33">
        <v>60001</v>
      </c>
      <c r="X151" s="33">
        <v>80001</v>
      </c>
      <c r="Y151" s="34">
        <f>112001+MAX(0,SUMIFS(INDEX(választott_kasztok,,10),INDEX(választott_kasztok,,1),$L151)-13)*31200</f>
        <v>112001</v>
      </c>
      <c r="Z151" s="10">
        <v>9</v>
      </c>
      <c r="AA151" s="10">
        <v>20</v>
      </c>
      <c r="AB151" s="10">
        <v>75</v>
      </c>
      <c r="AC151" s="10">
        <v>25</v>
      </c>
      <c r="AD151" s="10">
        <f>MAX(11,SUMIFS(INDEX(választott_kasztok,,10),INDEX(választott_kasztok,,1),$L151)*11)</f>
        <v>11</v>
      </c>
      <c r="AE151" s="10">
        <f>MAX(2,SUMIFS(INDEX(választott_kasztok,,10),INDEX(választott_kasztok,,1),$L151)*2)</f>
        <v>2</v>
      </c>
      <c r="AF151" s="10">
        <f>MAX(2,SUMIFS(INDEX(választott_kasztok,,10),INDEX(választott_kasztok,,1),$L151)*2)</f>
        <v>2</v>
      </c>
      <c r="AG151" s="20">
        <f>IF(AND(többes_kaszt=iker_kaszt,váltás_kezdet=0,váltás_kezdet&lt;&gt;""),0,10)</f>
        <v>10</v>
      </c>
      <c r="AH151" s="10">
        <f>MAX(0,IF(választott_kaszt_1=$L151,IF(váltás_kezdet="",VLOOKUP($L151,választott_kasztok,10,FALSE)*14,MIN(VLOOKUP($L151,választott_kasztok,10,FALSE),váltás_kezdet)*14+IF(többes_kaszt=iker_kaszt,MAX(0,VLOOKUP($L151,választott_kasztok,10,FALSE)-váltás_kezdet),0)+IF(többes_kaszt=váltott_kaszt,MAX(0,váltás_kezdet-VLOOKUP($L151,választott_kasztok,10,FALSE))*14)),0)+IF(választott_kaszt_2=$L151,VLOOKUP($L151,választott_kasztok,10,FALSE)*IF(többes_kaszt=iker_kaszt,1,14),0))</f>
        <v>0</v>
      </c>
      <c r="AI151" s="10">
        <v>0</v>
      </c>
      <c r="AJ151" s="10">
        <v>7</v>
      </c>
      <c r="AK151" s="10">
        <v>6</v>
      </c>
      <c r="AL151" s="10">
        <f>MAX(1,SUMIFS(INDEX(választott_kasztok,,10),INDEX(választott_kasztok,,1),$L151))*(k6dobás+4)</f>
        <v>10</v>
      </c>
      <c r="AM151" s="10"/>
      <c r="AN151" s="20" t="s">
        <v>1183</v>
      </c>
      <c r="AO151" s="209" t="str">
        <f>IF(tanultMfkaszt=0,"00",IF(INDEX(választott_kasztok,tanultMfkaszt,1)=$L151,TEXT(tanultMfTSZ,"00"),"00"))&amp;"0101"</f>
        <v>000101</v>
      </c>
      <c r="AP151" s="33">
        <v>0</v>
      </c>
      <c r="AQ151" s="56">
        <v>20</v>
      </c>
      <c r="AR151" s="56"/>
      <c r="AS151" s="56"/>
      <c r="AT151" s="56"/>
      <c r="AU151" s="56"/>
      <c r="AV151" s="56"/>
      <c r="AW151" s="56"/>
      <c r="AX151" s="56"/>
      <c r="AY151" s="56"/>
      <c r="AZ151" s="56"/>
      <c r="BA151" s="117">
        <f>112001+MAX(0,váltás_kezdet-13)*31200</f>
        <v>112001</v>
      </c>
      <c r="BB151" s="17">
        <f t="shared" si="246"/>
        <v>16</v>
      </c>
      <c r="BC151" s="17">
        <f t="shared" si="247"/>
        <v>13</v>
      </c>
      <c r="BD151" s="17">
        <f t="shared" si="248"/>
        <v>13</v>
      </c>
      <c r="BE151" s="17">
        <f t="shared" si="249"/>
        <v>14</v>
      </c>
      <c r="BF151" s="116">
        <f t="shared" si="250"/>
        <v>16</v>
      </c>
      <c r="BG151" s="17">
        <f t="shared" si="251"/>
        <v>11</v>
      </c>
      <c r="BH151" s="17">
        <f t="shared" si="252"/>
        <v>11</v>
      </c>
      <c r="BI151" s="17">
        <f t="shared" si="253"/>
        <v>13</v>
      </c>
      <c r="BJ151" s="17">
        <f t="shared" si="254"/>
        <v>11</v>
      </c>
      <c r="BK151" s="17">
        <f t="shared" si="255"/>
        <v>13</v>
      </c>
      <c r="BL151" s="17">
        <f t="shared" si="258"/>
        <v>0</v>
      </c>
      <c r="BM151" s="13">
        <f t="shared" si="256"/>
        <v>0</v>
      </c>
      <c r="BN151" s="12" t="s">
        <v>262</v>
      </c>
      <c r="BO151" s="12" t="s">
        <v>262</v>
      </c>
      <c r="BP151" s="12" t="s">
        <v>262</v>
      </c>
      <c r="BQ151" s="12" t="s">
        <v>262</v>
      </c>
      <c r="BR151" s="12"/>
      <c r="BS151" s="12"/>
      <c r="BT151" s="12"/>
      <c r="BU151" s="12"/>
      <c r="BV151" s="12"/>
      <c r="BW151" s="51"/>
      <c r="BX151" s="12" t="s">
        <v>134</v>
      </c>
      <c r="BY151" s="12" t="s">
        <v>131</v>
      </c>
      <c r="BZ151" s="12" t="s">
        <v>131</v>
      </c>
      <c r="CA151" s="12" t="s">
        <v>132</v>
      </c>
      <c r="CB151" s="12" t="s">
        <v>135</v>
      </c>
      <c r="CC151" s="12" t="s">
        <v>129</v>
      </c>
      <c r="CD151" s="12" t="s">
        <v>129</v>
      </c>
      <c r="CE151" s="12" t="s">
        <v>131</v>
      </c>
      <c r="CF151" s="12" t="s">
        <v>129</v>
      </c>
      <c r="CG151" s="12" t="s">
        <v>131</v>
      </c>
      <c r="CH151" s="20">
        <v>5</v>
      </c>
      <c r="CI151" s="10">
        <v>18</v>
      </c>
      <c r="CJ151" s="148"/>
      <c r="CK151" s="148"/>
    </row>
    <row r="152" spans="1:89">
      <c r="A152" s="148"/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261" t="s">
        <v>339</v>
      </c>
      <c r="M152" s="33">
        <v>0</v>
      </c>
      <c r="N152" s="33">
        <v>161</v>
      </c>
      <c r="O152" s="33">
        <v>321</v>
      </c>
      <c r="P152" s="33">
        <v>641</v>
      </c>
      <c r="Q152" s="33">
        <v>1441</v>
      </c>
      <c r="R152" s="34">
        <v>2801</v>
      </c>
      <c r="S152" s="33">
        <v>5601</v>
      </c>
      <c r="T152" s="33">
        <v>10001</v>
      </c>
      <c r="U152" s="33">
        <v>20001</v>
      </c>
      <c r="V152" s="33">
        <v>40001</v>
      </c>
      <c r="W152" s="33">
        <v>60001</v>
      </c>
      <c r="X152" s="33">
        <v>80001</v>
      </c>
      <c r="Y152" s="34">
        <f>112001+MAX(0,SUMIFS(INDEX(választott_kasztok,,10),INDEX(választott_kasztok,,1),$L152)-13)*31200</f>
        <v>112001</v>
      </c>
      <c r="Z152" s="10">
        <v>9</v>
      </c>
      <c r="AA152" s="10">
        <v>20</v>
      </c>
      <c r="AB152" s="10">
        <v>75</v>
      </c>
      <c r="AC152" s="10">
        <v>25</v>
      </c>
      <c r="AD152" s="10">
        <f>MAX(11,SUMIFS(INDEX(választott_kasztok,,10),INDEX(választott_kasztok,,1),$L152)*11)</f>
        <v>11</v>
      </c>
      <c r="AE152" s="10">
        <f>MAX(3,SUMIFS(INDEX(választott_kasztok,,10),INDEX(választott_kasztok,,1),$L152)*3)</f>
        <v>3</v>
      </c>
      <c r="AF152" s="10">
        <f>MAX(3,SUMIFS(INDEX(választott_kasztok,,10),INDEX(választott_kasztok,,1),$L152)*3)</f>
        <v>3</v>
      </c>
      <c r="AG152" s="20">
        <f>IF(AND(többes_kaszt=iker_kaszt,váltás_kezdet=0,váltás_kezdet&lt;&gt;""),0,5)</f>
        <v>5</v>
      </c>
      <c r="AH152" s="10">
        <f>MAX(0,IF(választott_kaszt_1=$L152,IF(váltás_kezdet="",VLOOKUP($L152,választott_kasztok,10,FALSE)*7,MIN(VLOOKUP($L152,választott_kasztok,10,FALSE),váltás_kezdet)*7+IF(többes_kaszt=iker_kaszt,MAX(0,VLOOKUP($L152,választott_kasztok,10,FALSE)-váltás_kezdet),0)+IF(többes_kaszt=váltott_kaszt,MAX(0,váltás_kezdet-VLOOKUP($L152,választott_kasztok,10,FALSE))*7)),0)+IF(választott_kaszt_2=$L152,VLOOKUP($L152,választott_kasztok,10,FALSE)*IF(többes_kaszt=iker_kaszt,1,7),0))</f>
        <v>0</v>
      </c>
      <c r="AI152" s="10">
        <v>0</v>
      </c>
      <c r="AJ152" s="10">
        <v>7</v>
      </c>
      <c r="AK152" s="10">
        <v>6</v>
      </c>
      <c r="AL152" s="10">
        <f>MAX(1,SUMIFS(INDEX(választott_kasztok,,10),INDEX(választott_kasztok,,1),$L152))*(k6dobás+4)</f>
        <v>10</v>
      </c>
      <c r="AM152" s="10"/>
      <c r="AN152" s="20" t="str">
        <f>IF(OR(tanultAfTSZ&gt;0,tanultMfTSZ&gt;0),pyarroni,nincsen)</f>
        <v>nincs</v>
      </c>
      <c r="AO152" s="208" t="str">
        <f>IF(tanultMfkaszt=0,"00",IF(INDEX(választott_kasztok,tanultMfkaszt,1)=$L152,TEXT(tanultMfTSZ,"00"),"00"))&amp;IF(tanultAfkaszt=0,"00",IF(INDEX(választott_kasztok,tanultAfkaszt,1)=$L152,TEXT(tanultAfTSZ,"00"),"00"))&amp;"01"</f>
        <v>000001</v>
      </c>
      <c r="AP152" s="33">
        <v>0</v>
      </c>
      <c r="AQ152" s="56">
        <v>15</v>
      </c>
      <c r="AR152" s="56">
        <v>20</v>
      </c>
      <c r="AS152" s="56">
        <v>10</v>
      </c>
      <c r="AT152" s="56"/>
      <c r="AU152" s="56"/>
      <c r="AV152" s="56"/>
      <c r="AW152" s="56"/>
      <c r="AX152" s="56"/>
      <c r="AY152" s="56"/>
      <c r="AZ152" s="56"/>
      <c r="BA152" s="117">
        <f>112001+MAX(0,váltás_kezdet-13)*31200</f>
        <v>112001</v>
      </c>
      <c r="BB152" s="17">
        <f t="shared" ref="BB152" si="272">MAX(SUMIFS(INDEX(dobások,,2),INDEX(dobások,,1),BX152)+SUMIFS(INDEX(fajok,,3),INDEX(fajok,,1),választott_faj),IF(AND(többes_kaszt=iker_kaszt,váltás_kezdet=1,választott_kaszt_1=$L152),SUMIFS(INDEX(kasztok,,43),INDEX(kasztok,,1),választott_kaszt_2),0))</f>
        <v>16</v>
      </c>
      <c r="BC152" s="17">
        <f t="shared" ref="BC152" si="273">MAX(SUMIFS(INDEX(dobások,,2),INDEX(dobások,,1),BY152)+SUMIFS(INDEX(fajok,,4),INDEX(fajok,,1),választott_faj),IF(AND(többes_kaszt=iker_kaszt,váltás_kezdet=1,választott_kaszt_1=$L152),SUMIFS(INDEX(kasztok,,44),INDEX(kasztok,,1),választott_kaszt_2),0))</f>
        <v>13</v>
      </c>
      <c r="BD152" s="17">
        <f t="shared" ref="BD152" si="274">MAX(SUMIFS(INDEX(dobások,,2),INDEX(dobások,,1),BZ152)+SUMIFS(INDEX(fajok,,5),INDEX(fajok,,1),választott_faj),IF(AND(többes_kaszt=iker_kaszt,váltás_kezdet=1,választott_kaszt_1=$L152),SUMIFS(INDEX(kasztok,,45),INDEX(kasztok,,1),választott_kaszt_2),0))</f>
        <v>13</v>
      </c>
      <c r="BE152" s="17">
        <f t="shared" ref="BE152" si="275">MAX(SUMIFS(INDEX(dobások,,2),INDEX(dobások,,1),CA152)+SUMIFS(INDEX(fajok,,6),INDEX(fajok,,1),választott_faj),IF(AND(többes_kaszt=iker_kaszt,váltás_kezdet=1,választott_kaszt_1=$L152),SUMIFS(INDEX(kasztok,,46),INDEX(kasztok,,1),választott_kaszt_2),0))</f>
        <v>14</v>
      </c>
      <c r="BF152" s="116">
        <f t="shared" ref="BF152" si="276">MAX(SUMIFS(INDEX(dobások,,2),INDEX(dobások,,1),CB152)+SUMIFS(INDEX(fajok,,7),INDEX(fajok,,1),választott_faj),IF(AND(többes_kaszt=iker_kaszt,váltás_kezdet=1,választott_kaszt_1=$L152),SUMIFS(INDEX(kasztok,,47),INDEX(kasztok,,1),választott_kaszt_2),0))</f>
        <v>16</v>
      </c>
      <c r="BG152" s="17">
        <f t="shared" ref="BG152" si="277">MAX(SUMIFS(INDEX(dobások,,2),INDEX(dobások,,1),CC152)+SUMIFS(INDEX(fajok,,8),INDEX(fajok,,1),választott_faj),IF(AND(többes_kaszt=iker_kaszt,váltás_kezdet=1,választott_kaszt_1=$L152),SUMIFS(INDEX(kasztok,,48),INDEX(kasztok,,1),választott_kaszt_2),0))</f>
        <v>11</v>
      </c>
      <c r="BH152" s="17">
        <f t="shared" ref="BH152" si="278">MAX(SUMIFS(INDEX(dobások,,2),INDEX(dobások,,1),CD152)+SUMIFS(INDEX(fajok,,9),INDEX(fajok,,1),választott_faj),IF(AND(többes_kaszt=iker_kaszt,váltás_kezdet=1,választott_kaszt_1=$L152),SUMIFS(INDEX(kasztok,,49),INDEX(kasztok,,1),választott_kaszt_2),0))</f>
        <v>11</v>
      </c>
      <c r="BI152" s="17">
        <f t="shared" ref="BI152" si="279">MAX(SUMIFS(INDEX(dobások,,2),INDEX(dobások,,1),CE152),IF(AND(többes_kaszt=iker_kaszt,váltás_kezdet=1,választott_kaszt_1=$L152),SUMIFS(INDEX(kasztok,,50),INDEX(kasztok,,1),választott_kaszt_2),0))</f>
        <v>13</v>
      </c>
      <c r="BJ152" s="17">
        <f t="shared" ref="BJ152" si="280">MAX(SUMIFS(INDEX(dobások,,2),INDEX(dobások,,1),CF152)+SUMIFS(INDEX(fajok,,10),INDEX(fajok,,1),választott_faj),IF(AND(többes_kaszt=iker_kaszt,váltás_kezdet=1,választott_kaszt_1=$L152),SUMIFS(INDEX(kasztok,,51),INDEX(kasztok,,1),választott_kaszt_2),0))</f>
        <v>11</v>
      </c>
      <c r="BK152" s="17">
        <f t="shared" ref="BK152" si="281">MAX(SUMIFS(INDEX(dobások,,2),INDEX(dobások,,1),CG152),IF(AND(többes_kaszt=iker_kaszt,váltás_kezdet=1,választott_kaszt_1=$L152),SUMIFS(INDEX(kasztok,,52),INDEX(kasztok,,1),választott_kaszt_2),0))</f>
        <v>13</v>
      </c>
      <c r="BL152" s="17">
        <f t="shared" si="258"/>
        <v>0</v>
      </c>
      <c r="BM152" s="13">
        <f t="shared" ref="BM152" si="282">MAX(0,erő-(SUMIFS(INDEX(dobások,,4),INDEX(dobások,,1),BX152)+SUMIFS(INDEX(fajok,,3),INDEX(fajok,,1),választott_faj)))+MAX(0,gyorsaság-(SUMIFS(INDEX(dobások,,4),INDEX(dobások,,1),BY152)+SUMIFS(INDEX(fajok,,4),INDEX(fajok,,1),választott_faj)))+MAX(0,ügyesség-(SUMIFS(INDEX(dobások,,4),INDEX(dobások,,1),BZ152)+SUMIFS(INDEX(fajok,,5),INDEX(fajok,,1),választott_faj)))+MAX(0,állóképesség-(SUMIFS(INDEX(dobások,,4),INDEX(dobások,,1),CA152)+SUMIFS(INDEX(fajok,,6),INDEX(fajok,,1),választott_faj)))+MAX(0,egészség-(SUMIFS(INDEX(dobások,,4),INDEX(dobások,,1),CB152)+SUMIFS(INDEX(fajok,,7),INDEX(fajok,,1),választott_faj)))+MAX(0,szépség-(SUMIFS(INDEX(dobások,,4),INDEX(dobások,,1),CC152)+SUMIFS(INDEX(fajok,,8),INDEX(fajok,,1),választott_faj)))+MAX(0,intelligencia-(SUMIFS(INDEX(dobások,,4),INDEX(dobások,,1),CD152)+SUMIFS(INDEX(fajok,,9),INDEX(fajok,,1),választott_faj)))+MAX(0,akaraterő-SUMIFS(INDEX(dobások,,4),INDEX(dobások,,1),CE152))+MAX(0,asztrál-(SUMIFS(INDEX(dobások,,4),INDEX(dobások,,1),CF152)+SUMIFS(INDEX(fajok,,10),INDEX(fajok,,1),választott_faj)))+MAX(0,érzékelés-SUMIFS(INDEX(dobások,,4),INDEX(dobások,,1),CG152))</f>
        <v>0</v>
      </c>
      <c r="BN152" s="12" t="s">
        <v>262</v>
      </c>
      <c r="BO152" s="12" t="s">
        <v>262</v>
      </c>
      <c r="BP152" s="12" t="s">
        <v>262</v>
      </c>
      <c r="BQ152" s="12" t="s">
        <v>262</v>
      </c>
      <c r="BR152" s="12"/>
      <c r="BS152" s="12"/>
      <c r="BT152" s="12"/>
      <c r="BU152" s="12"/>
      <c r="BV152" s="12"/>
      <c r="BW152" s="51"/>
      <c r="BX152" s="12" t="s">
        <v>134</v>
      </c>
      <c r="BY152" s="12" t="s">
        <v>131</v>
      </c>
      <c r="BZ152" s="12" t="s">
        <v>131</v>
      </c>
      <c r="CA152" s="12" t="s">
        <v>132</v>
      </c>
      <c r="CB152" s="12" t="s">
        <v>135</v>
      </c>
      <c r="CC152" s="12" t="s">
        <v>129</v>
      </c>
      <c r="CD152" s="12" t="s">
        <v>129</v>
      </c>
      <c r="CE152" s="12" t="s">
        <v>131</v>
      </c>
      <c r="CF152" s="12" t="s">
        <v>129</v>
      </c>
      <c r="CG152" s="12" t="s">
        <v>131</v>
      </c>
      <c r="CH152" s="10">
        <v>3</v>
      </c>
      <c r="CI152" s="10">
        <v>18</v>
      </c>
      <c r="CJ152" s="148"/>
      <c r="CK152" s="148"/>
    </row>
    <row r="153" spans="1:89">
      <c r="A153" s="148"/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261" t="s">
        <v>340</v>
      </c>
      <c r="M153" s="33">
        <v>0</v>
      </c>
      <c r="N153" s="33">
        <v>161</v>
      </c>
      <c r="O153" s="33">
        <v>321</v>
      </c>
      <c r="P153" s="33">
        <v>641</v>
      </c>
      <c r="Q153" s="33">
        <v>1441</v>
      </c>
      <c r="R153" s="34">
        <v>2801</v>
      </c>
      <c r="S153" s="33">
        <v>5601</v>
      </c>
      <c r="T153" s="33">
        <v>10001</v>
      </c>
      <c r="U153" s="33">
        <v>20001</v>
      </c>
      <c r="V153" s="33">
        <v>40001</v>
      </c>
      <c r="W153" s="33">
        <v>60001</v>
      </c>
      <c r="X153" s="33">
        <v>80001</v>
      </c>
      <c r="Y153" s="34">
        <f>112001+MAX(0,SUMIFS(INDEX(választott_kasztok,,10),INDEX(választott_kasztok,,1),$L153)-13)*31200</f>
        <v>112001</v>
      </c>
      <c r="Z153" s="10">
        <v>9</v>
      </c>
      <c r="AA153" s="10">
        <v>20</v>
      </c>
      <c r="AB153" s="10">
        <v>75</v>
      </c>
      <c r="AC153" s="10">
        <v>0</v>
      </c>
      <c r="AD153" s="10">
        <f>MAX(11,SUMIFS(INDEX(választott_kasztok,,10),INDEX(választott_kasztok,,1),$L153)*11)</f>
        <v>11</v>
      </c>
      <c r="AE153" s="10">
        <f>MAX(3,SUMIFS(INDEX(választott_kasztok,,10),INDEX(választott_kasztok,,1),$L153)*3)</f>
        <v>3</v>
      </c>
      <c r="AF153" s="10">
        <f>MAX(3,SUMIFS(INDEX(választott_kasztok,,10),INDEX(választott_kasztok,,1),$L153)*3)</f>
        <v>3</v>
      </c>
      <c r="AG153" s="20">
        <f>IF(AND(többes_kaszt=iker_kaszt,váltás_kezdet=0,váltás_kezdet&lt;&gt;""),0,10)</f>
        <v>10</v>
      </c>
      <c r="AH153" s="10">
        <f>MAX(0,IF(választott_kaszt_1=$L153,IF(váltás_kezdet="",VLOOKUP($L153,választott_kasztok,10,FALSE)*14,MIN(VLOOKUP($L153,választott_kasztok,10,FALSE),váltás_kezdet)*14+IF(többes_kaszt=iker_kaszt,MAX(0,VLOOKUP($L153,választott_kasztok,10,FALSE)-váltás_kezdet),0)+IF(többes_kaszt=váltott_kaszt,MAX(0,váltás_kezdet-VLOOKUP($L153,választott_kasztok,10,FALSE))*14)),0)+IF(választott_kaszt_2=$L153,VLOOKUP($L153,választott_kasztok,10,FALSE)*IF(többes_kaszt=iker_kaszt,1,14),0))</f>
        <v>0</v>
      </c>
      <c r="AI153" s="10">
        <v>0</v>
      </c>
      <c r="AJ153" s="10">
        <v>7</v>
      </c>
      <c r="AK153" s="10">
        <v>6</v>
      </c>
      <c r="AL153" s="10">
        <f>MAX(1,SUMIFS(INDEX(választott_kasztok,,10),INDEX(választott_kasztok,,1),$L153))*(k6dobás+4)</f>
        <v>10</v>
      </c>
      <c r="AM153" s="10"/>
      <c r="AN153" s="20" t="s">
        <v>1183</v>
      </c>
      <c r="AO153" s="209" t="str">
        <f>IF(tanultMfkaszt=0,"00",IF(INDEX(választott_kasztok,tanultMfkaszt,1)=$L153,TEXT(tanultMfTSZ,"00"),"00"))&amp;"0101"</f>
        <v>000101</v>
      </c>
      <c r="AP153" s="33">
        <v>0</v>
      </c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117">
        <f>112001+MAX(0,váltás_kezdet-13)*31200</f>
        <v>112001</v>
      </c>
      <c r="BB153" s="17">
        <f t="shared" si="246"/>
        <v>16</v>
      </c>
      <c r="BC153" s="17">
        <f t="shared" si="247"/>
        <v>13</v>
      </c>
      <c r="BD153" s="17">
        <f t="shared" si="248"/>
        <v>13</v>
      </c>
      <c r="BE153" s="17">
        <f t="shared" si="249"/>
        <v>14</v>
      </c>
      <c r="BF153" s="116">
        <f t="shared" si="250"/>
        <v>16</v>
      </c>
      <c r="BG153" s="17">
        <f t="shared" si="251"/>
        <v>11</v>
      </c>
      <c r="BH153" s="17">
        <f t="shared" si="252"/>
        <v>11</v>
      </c>
      <c r="BI153" s="17">
        <f t="shared" si="253"/>
        <v>13</v>
      </c>
      <c r="BJ153" s="17">
        <f t="shared" si="254"/>
        <v>11</v>
      </c>
      <c r="BK153" s="17">
        <f t="shared" si="255"/>
        <v>13</v>
      </c>
      <c r="BL153" s="17">
        <f t="shared" si="258"/>
        <v>0</v>
      </c>
      <c r="BM153" s="13">
        <f t="shared" si="256"/>
        <v>0</v>
      </c>
      <c r="BN153" s="12" t="s">
        <v>262</v>
      </c>
      <c r="BO153" s="12" t="s">
        <v>262</v>
      </c>
      <c r="BP153" s="12" t="s">
        <v>262</v>
      </c>
      <c r="BQ153" s="12" t="s">
        <v>262</v>
      </c>
      <c r="BR153" s="12"/>
      <c r="BS153" s="12"/>
      <c r="BT153" s="12"/>
      <c r="BU153" s="12"/>
      <c r="BV153" s="12"/>
      <c r="BW153" s="51"/>
      <c r="BX153" s="12" t="s">
        <v>134</v>
      </c>
      <c r="BY153" s="12" t="s">
        <v>131</v>
      </c>
      <c r="BZ153" s="12" t="s">
        <v>131</v>
      </c>
      <c r="CA153" s="12" t="s">
        <v>132</v>
      </c>
      <c r="CB153" s="12" t="s">
        <v>135</v>
      </c>
      <c r="CC153" s="12" t="s">
        <v>129</v>
      </c>
      <c r="CD153" s="12" t="s">
        <v>129</v>
      </c>
      <c r="CE153" s="12" t="s">
        <v>131</v>
      </c>
      <c r="CF153" s="12" t="s">
        <v>129</v>
      </c>
      <c r="CG153" s="12" t="s">
        <v>131</v>
      </c>
      <c r="CH153" s="10">
        <v>3</v>
      </c>
      <c r="CI153" s="10">
        <v>18</v>
      </c>
      <c r="CJ153" s="148"/>
      <c r="CK153" s="148"/>
    </row>
    <row r="154" spans="1:89">
      <c r="A154" s="148"/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20"/>
      <c r="AP154" s="10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0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48"/>
      <c r="CK154" s="148"/>
    </row>
    <row r="155" spans="1:89">
      <c r="A155" s="148"/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38">
        <f t="shared" ref="L155:AQ155" si="283">COLUMN()-COLUMN($K141)</f>
        <v>1</v>
      </c>
      <c r="M155" s="38">
        <f t="shared" si="283"/>
        <v>2</v>
      </c>
      <c r="N155" s="38">
        <f t="shared" si="283"/>
        <v>3</v>
      </c>
      <c r="O155" s="38">
        <f t="shared" si="283"/>
        <v>4</v>
      </c>
      <c r="P155" s="38">
        <f t="shared" si="283"/>
        <v>5</v>
      </c>
      <c r="Q155" s="38">
        <f t="shared" si="283"/>
        <v>6</v>
      </c>
      <c r="R155" s="38">
        <f t="shared" si="283"/>
        <v>7</v>
      </c>
      <c r="S155" s="38">
        <f t="shared" si="283"/>
        <v>8</v>
      </c>
      <c r="T155" s="38">
        <f t="shared" si="283"/>
        <v>9</v>
      </c>
      <c r="U155" s="38">
        <f t="shared" si="283"/>
        <v>10</v>
      </c>
      <c r="V155" s="38">
        <f t="shared" si="283"/>
        <v>11</v>
      </c>
      <c r="W155" s="38">
        <f t="shared" si="283"/>
        <v>12</v>
      </c>
      <c r="X155" s="38">
        <f t="shared" si="283"/>
        <v>13</v>
      </c>
      <c r="Y155" s="38">
        <f t="shared" si="283"/>
        <v>14</v>
      </c>
      <c r="Z155" s="38">
        <f t="shared" si="283"/>
        <v>15</v>
      </c>
      <c r="AA155" s="38">
        <f t="shared" si="283"/>
        <v>16</v>
      </c>
      <c r="AB155" s="38">
        <f t="shared" si="283"/>
        <v>17</v>
      </c>
      <c r="AC155" s="38">
        <f t="shared" si="283"/>
        <v>18</v>
      </c>
      <c r="AD155" s="38">
        <f t="shared" si="283"/>
        <v>19</v>
      </c>
      <c r="AE155" s="38">
        <f t="shared" si="283"/>
        <v>20</v>
      </c>
      <c r="AF155" s="38">
        <f t="shared" si="283"/>
        <v>21</v>
      </c>
      <c r="AG155" s="38">
        <f t="shared" si="283"/>
        <v>22</v>
      </c>
      <c r="AH155" s="38">
        <f t="shared" si="283"/>
        <v>23</v>
      </c>
      <c r="AI155" s="38">
        <f t="shared" si="283"/>
        <v>24</v>
      </c>
      <c r="AJ155" s="38">
        <f t="shared" si="283"/>
        <v>25</v>
      </c>
      <c r="AK155" s="38">
        <f t="shared" si="283"/>
        <v>26</v>
      </c>
      <c r="AL155" s="38">
        <f t="shared" si="283"/>
        <v>27</v>
      </c>
      <c r="AM155" s="38">
        <f t="shared" si="283"/>
        <v>28</v>
      </c>
      <c r="AN155" s="38">
        <f t="shared" si="283"/>
        <v>29</v>
      </c>
      <c r="AO155" s="38">
        <f t="shared" si="283"/>
        <v>30</v>
      </c>
      <c r="AP155" s="38">
        <f t="shared" si="283"/>
        <v>31</v>
      </c>
      <c r="AQ155" s="38">
        <f t="shared" si="283"/>
        <v>32</v>
      </c>
      <c r="AR155" s="38">
        <f t="shared" ref="AR155:BW155" si="284">COLUMN()-COLUMN($K141)</f>
        <v>33</v>
      </c>
      <c r="AS155" s="38">
        <f t="shared" si="284"/>
        <v>34</v>
      </c>
      <c r="AT155" s="38">
        <f t="shared" si="284"/>
        <v>35</v>
      </c>
      <c r="AU155" s="38">
        <f t="shared" si="284"/>
        <v>36</v>
      </c>
      <c r="AV155" s="38">
        <f t="shared" si="284"/>
        <v>37</v>
      </c>
      <c r="AW155" s="38">
        <f t="shared" si="284"/>
        <v>38</v>
      </c>
      <c r="AX155" s="38">
        <f t="shared" si="284"/>
        <v>39</v>
      </c>
      <c r="AY155" s="38">
        <f t="shared" si="284"/>
        <v>40</v>
      </c>
      <c r="AZ155" s="38">
        <f t="shared" si="284"/>
        <v>41</v>
      </c>
      <c r="BA155" s="38">
        <f t="shared" si="284"/>
        <v>42</v>
      </c>
      <c r="BB155" s="38">
        <f t="shared" si="284"/>
        <v>43</v>
      </c>
      <c r="BC155" s="38">
        <f t="shared" si="284"/>
        <v>44</v>
      </c>
      <c r="BD155" s="38">
        <f t="shared" si="284"/>
        <v>45</v>
      </c>
      <c r="BE155" s="38">
        <f t="shared" si="284"/>
        <v>46</v>
      </c>
      <c r="BF155" s="38">
        <f t="shared" si="284"/>
        <v>47</v>
      </c>
      <c r="BG155" s="38">
        <f t="shared" si="284"/>
        <v>48</v>
      </c>
      <c r="BH155" s="38">
        <f t="shared" si="284"/>
        <v>49</v>
      </c>
      <c r="BI155" s="38">
        <f t="shared" si="284"/>
        <v>50</v>
      </c>
      <c r="BJ155" s="38">
        <f t="shared" si="284"/>
        <v>51</v>
      </c>
      <c r="BK155" s="38">
        <f t="shared" si="284"/>
        <v>52</v>
      </c>
      <c r="BL155" s="38">
        <f t="shared" si="284"/>
        <v>53</v>
      </c>
      <c r="BM155" s="38">
        <f t="shared" si="284"/>
        <v>54</v>
      </c>
      <c r="BN155" s="38">
        <f t="shared" si="284"/>
        <v>55</v>
      </c>
      <c r="BO155" s="38">
        <f t="shared" si="284"/>
        <v>56</v>
      </c>
      <c r="BP155" s="38">
        <f t="shared" si="284"/>
        <v>57</v>
      </c>
      <c r="BQ155" s="38">
        <f t="shared" si="284"/>
        <v>58</v>
      </c>
      <c r="BR155" s="38">
        <f t="shared" si="284"/>
        <v>59</v>
      </c>
      <c r="BS155" s="38">
        <f t="shared" si="284"/>
        <v>60</v>
      </c>
      <c r="BT155" s="38">
        <f t="shared" si="284"/>
        <v>61</v>
      </c>
      <c r="BU155" s="38">
        <f t="shared" si="284"/>
        <v>62</v>
      </c>
      <c r="BV155" s="38">
        <f t="shared" si="284"/>
        <v>63</v>
      </c>
      <c r="BW155" s="38">
        <f t="shared" si="284"/>
        <v>64</v>
      </c>
      <c r="BX155" s="38">
        <f t="shared" ref="BX155:CI155" si="285">COLUMN()-COLUMN($K141)</f>
        <v>65</v>
      </c>
      <c r="BY155" s="38">
        <f t="shared" si="285"/>
        <v>66</v>
      </c>
      <c r="BZ155" s="38">
        <f t="shared" si="285"/>
        <v>67</v>
      </c>
      <c r="CA155" s="38">
        <f t="shared" si="285"/>
        <v>68</v>
      </c>
      <c r="CB155" s="38">
        <f t="shared" si="285"/>
        <v>69</v>
      </c>
      <c r="CC155" s="38">
        <f t="shared" si="285"/>
        <v>70</v>
      </c>
      <c r="CD155" s="38">
        <f t="shared" si="285"/>
        <v>71</v>
      </c>
      <c r="CE155" s="38">
        <f t="shared" si="285"/>
        <v>72</v>
      </c>
      <c r="CF155" s="38">
        <f t="shared" si="285"/>
        <v>73</v>
      </c>
      <c r="CG155" s="38">
        <f t="shared" si="285"/>
        <v>74</v>
      </c>
      <c r="CH155" s="38">
        <f t="shared" si="285"/>
        <v>75</v>
      </c>
      <c r="CI155" s="38">
        <f t="shared" si="285"/>
        <v>76</v>
      </c>
      <c r="CJ155" s="148"/>
      <c r="CK155" s="148"/>
    </row>
    <row r="156" spans="1:89">
      <c r="A156" s="148"/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0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48"/>
      <c r="CJ156" s="148"/>
      <c r="CK156" s="148"/>
    </row>
    <row r="157" spans="1:89">
      <c r="A157" s="148"/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0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48"/>
      <c r="CJ157" s="148"/>
      <c r="CK157" s="148"/>
    </row>
    <row r="158" spans="1:89">
      <c r="A158" s="148"/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0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48"/>
      <c r="CJ158" s="148"/>
      <c r="CK158" s="148"/>
    </row>
    <row r="159" spans="1:89">
      <c r="A159" s="148"/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0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48"/>
      <c r="CJ159" s="148"/>
      <c r="CK159" s="148"/>
    </row>
    <row r="160" spans="1:89">
      <c r="A160" s="148"/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0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48"/>
      <c r="CJ160" s="148"/>
      <c r="CK160" s="148"/>
    </row>
    <row r="161" spans="1:89">
      <c r="A161" s="148"/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0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48"/>
      <c r="CJ161" s="148"/>
      <c r="CK161" s="148"/>
    </row>
    <row r="162" spans="1:89">
      <c r="A162" s="148"/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0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48"/>
      <c r="CJ162" s="148"/>
      <c r="CK162" s="148"/>
    </row>
    <row r="163" spans="1:89">
      <c r="A163" s="148"/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0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48"/>
      <c r="CJ163" s="148"/>
      <c r="CK163" s="148"/>
    </row>
    <row r="164" spans="1:89">
      <c r="A164" s="148"/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0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48"/>
      <c r="CJ164" s="148"/>
      <c r="CK164" s="148"/>
    </row>
    <row r="165" spans="1:89">
      <c r="A165" s="148"/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0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48"/>
      <c r="CJ165" s="148"/>
      <c r="CK165" s="148"/>
    </row>
    <row r="166" spans="1:89">
      <c r="A166" s="148"/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0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48"/>
      <c r="CJ166" s="148"/>
      <c r="CK166" s="148"/>
    </row>
    <row r="167" spans="1:89">
      <c r="A167" s="148"/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0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48"/>
      <c r="CJ167" s="148"/>
      <c r="CK167" s="148"/>
    </row>
    <row r="168" spans="1:89">
      <c r="A168" s="148"/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0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48"/>
      <c r="CJ168" s="148"/>
      <c r="CK168" s="148"/>
    </row>
    <row r="169" spans="1:89">
      <c r="A169" s="148"/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0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48"/>
      <c r="CJ169" s="148"/>
      <c r="CK169" s="148"/>
    </row>
    <row r="170" spans="1:89">
      <c r="A170" s="148"/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0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48"/>
      <c r="CJ170" s="148"/>
      <c r="CK170" s="148"/>
    </row>
    <row r="171" spans="1:89">
      <c r="A171" s="148"/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0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BA171" s="148"/>
      <c r="BM171" s="148"/>
      <c r="BN171" s="148"/>
      <c r="BO171" s="148"/>
      <c r="BP171" s="148"/>
      <c r="BQ171" s="148"/>
      <c r="BR171" s="148"/>
      <c r="BS171" s="148"/>
      <c r="BT171" s="148"/>
      <c r="BU171" s="148"/>
      <c r="BV171" s="148"/>
      <c r="BW171" s="148"/>
      <c r="BX171" s="148"/>
      <c r="BY171" s="148"/>
      <c r="BZ171" s="148"/>
      <c r="CA171" s="148"/>
      <c r="CB171" s="148"/>
      <c r="CC171" s="148"/>
      <c r="CD171" s="148"/>
      <c r="CE171" s="148"/>
      <c r="CF171" s="148"/>
      <c r="CG171" s="148"/>
      <c r="CH171" s="148"/>
      <c r="CJ171" s="148"/>
      <c r="CK171" s="148"/>
    </row>
    <row r="172" spans="1:89">
      <c r="A172" s="148"/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0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BA172" s="148"/>
      <c r="BM172" s="148"/>
      <c r="BN172" s="148"/>
      <c r="BO172" s="148"/>
      <c r="BP172" s="148"/>
      <c r="BQ172" s="148"/>
      <c r="BR172" s="148"/>
      <c r="BS172" s="148"/>
      <c r="BT172" s="148"/>
      <c r="BU172" s="148"/>
      <c r="BV172" s="148"/>
      <c r="BW172" s="148"/>
      <c r="BX172" s="148"/>
      <c r="BY172" s="148"/>
      <c r="BZ172" s="148"/>
      <c r="CA172" s="148"/>
      <c r="CB172" s="148"/>
      <c r="CC172" s="148"/>
      <c r="CD172" s="148"/>
      <c r="CE172" s="148"/>
      <c r="CF172" s="148"/>
      <c r="CG172" s="148"/>
      <c r="CH172" s="148"/>
      <c r="CJ172" s="148"/>
      <c r="CK172" s="148"/>
    </row>
    <row r="173" spans="1:89">
      <c r="A173" s="148"/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BA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8"/>
      <c r="BW173" s="148"/>
      <c r="BX173" s="148"/>
      <c r="BY173" s="148"/>
      <c r="BZ173" s="148"/>
      <c r="CA173" s="148"/>
      <c r="CB173" s="148"/>
      <c r="CC173" s="148"/>
      <c r="CD173" s="148"/>
      <c r="CE173" s="148"/>
      <c r="CF173" s="148"/>
      <c r="CG173" s="148"/>
      <c r="CH173" s="148"/>
      <c r="CJ173" s="148"/>
      <c r="CK173" s="148"/>
    </row>
    <row r="174" spans="1:89">
      <c r="A174" s="148"/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BA174" s="148"/>
      <c r="BM174" s="148"/>
      <c r="BN174" s="148"/>
      <c r="BO174" s="148"/>
      <c r="BP174" s="148"/>
      <c r="BQ174" s="148"/>
      <c r="BR174" s="148"/>
      <c r="BS174" s="148"/>
      <c r="BT174" s="148"/>
      <c r="BU174" s="148"/>
      <c r="BV174" s="148"/>
      <c r="BW174" s="148"/>
      <c r="BX174" s="148"/>
      <c r="BY174" s="148"/>
      <c r="BZ174" s="148"/>
      <c r="CA174" s="148"/>
      <c r="CB174" s="148"/>
      <c r="CC174" s="148"/>
      <c r="CD174" s="148"/>
      <c r="CE174" s="148"/>
      <c r="CF174" s="148"/>
      <c r="CG174" s="148"/>
      <c r="CH174" s="148"/>
      <c r="CJ174" s="148"/>
      <c r="CK174" s="148"/>
    </row>
    <row r="175" spans="1:89">
      <c r="A175" s="148"/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BA175" s="148"/>
      <c r="BM175" s="148"/>
      <c r="BN175" s="148"/>
      <c r="BO175" s="148"/>
      <c r="BP175" s="148"/>
      <c r="BQ175" s="148"/>
      <c r="BR175" s="148"/>
      <c r="BS175" s="148"/>
      <c r="BT175" s="148"/>
      <c r="BU175" s="148"/>
      <c r="BV175" s="148"/>
      <c r="BW175" s="148"/>
      <c r="BX175" s="148"/>
      <c r="BY175" s="148"/>
      <c r="BZ175" s="148"/>
      <c r="CA175" s="148"/>
      <c r="CB175" s="148"/>
      <c r="CC175" s="148"/>
      <c r="CD175" s="148"/>
      <c r="CE175" s="148"/>
      <c r="CF175" s="148"/>
      <c r="CG175" s="148"/>
      <c r="CH175" s="148"/>
      <c r="CJ175" s="148"/>
      <c r="CK175" s="148"/>
    </row>
    <row r="176" spans="1:89">
      <c r="A176" s="148"/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BA176" s="148"/>
      <c r="BM176" s="148"/>
      <c r="BN176" s="148"/>
      <c r="BO176" s="148"/>
      <c r="BP176" s="148"/>
      <c r="BQ176" s="148"/>
      <c r="BR176" s="148"/>
      <c r="BS176" s="148"/>
      <c r="BT176" s="148"/>
      <c r="BU176" s="148"/>
      <c r="BV176" s="148"/>
      <c r="BW176" s="148"/>
      <c r="BX176" s="148"/>
      <c r="BY176" s="148"/>
      <c r="BZ176" s="148"/>
      <c r="CA176" s="148"/>
      <c r="CB176" s="148"/>
      <c r="CC176" s="148"/>
      <c r="CD176" s="148"/>
      <c r="CE176" s="148"/>
      <c r="CF176" s="148"/>
      <c r="CG176" s="148"/>
      <c r="CH176" s="148"/>
      <c r="CJ176" s="148"/>
      <c r="CK176" s="148"/>
    </row>
    <row r="177" spans="1:89">
      <c r="A177" s="148"/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BA177" s="148"/>
      <c r="BM177" s="148"/>
      <c r="BN177" s="148"/>
      <c r="BO177" s="148"/>
      <c r="BP177" s="148"/>
      <c r="BQ177" s="148"/>
      <c r="BR177" s="148"/>
      <c r="BS177" s="148"/>
      <c r="BT177" s="148"/>
      <c r="BU177" s="148"/>
      <c r="BV177" s="148"/>
      <c r="BW177" s="148"/>
      <c r="BX177" s="148"/>
      <c r="BY177" s="148"/>
      <c r="BZ177" s="148"/>
      <c r="CA177" s="148"/>
      <c r="CB177" s="148"/>
      <c r="CC177" s="148"/>
      <c r="CD177" s="148"/>
      <c r="CE177" s="148"/>
      <c r="CF177" s="148"/>
      <c r="CG177" s="148"/>
      <c r="CH177" s="148"/>
      <c r="CJ177" s="148"/>
      <c r="CK177" s="148"/>
    </row>
    <row r="178" spans="1:89">
      <c r="A178" s="148"/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BA178" s="148"/>
      <c r="BM178" s="148"/>
      <c r="BN178" s="148"/>
      <c r="BO178" s="148"/>
      <c r="BP178" s="148"/>
      <c r="BQ178" s="148"/>
      <c r="BR178" s="148"/>
      <c r="BS178" s="148"/>
      <c r="BT178" s="148"/>
      <c r="BU178" s="148"/>
      <c r="BV178" s="148"/>
      <c r="BW178" s="148"/>
      <c r="BX178" s="148"/>
      <c r="BY178" s="148"/>
      <c r="BZ178" s="148"/>
      <c r="CA178" s="148"/>
      <c r="CB178" s="148"/>
      <c r="CC178" s="148"/>
      <c r="CD178" s="148"/>
      <c r="CE178" s="148"/>
      <c r="CF178" s="148"/>
      <c r="CG178" s="148"/>
      <c r="CH178" s="148"/>
      <c r="CJ178" s="148"/>
      <c r="CK178" s="148"/>
    </row>
    <row r="179" spans="1:89">
      <c r="A179" s="148"/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BA179" s="148"/>
      <c r="BM179" s="148"/>
      <c r="BN179" s="148"/>
      <c r="BO179" s="148"/>
      <c r="BP179" s="148"/>
      <c r="BQ179" s="148"/>
      <c r="BR179" s="148"/>
      <c r="BS179" s="148"/>
      <c r="BT179" s="148"/>
      <c r="BU179" s="148"/>
      <c r="BV179" s="148"/>
      <c r="BW179" s="148"/>
      <c r="BX179" s="148"/>
      <c r="BY179" s="148"/>
      <c r="BZ179" s="148"/>
      <c r="CA179" s="148"/>
      <c r="CB179" s="148"/>
      <c r="CC179" s="148"/>
      <c r="CD179" s="148"/>
      <c r="CE179" s="148"/>
      <c r="CF179" s="148"/>
      <c r="CG179" s="148"/>
      <c r="CH179" s="148"/>
      <c r="CJ179" s="148"/>
      <c r="CK179" s="148"/>
    </row>
    <row r="180" spans="1:89">
      <c r="A180" s="148"/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BA180" s="148"/>
      <c r="BM180" s="148"/>
      <c r="BN180" s="148"/>
      <c r="BO180" s="148"/>
      <c r="BP180" s="148"/>
      <c r="BQ180" s="148"/>
      <c r="BR180" s="148"/>
      <c r="BS180" s="148"/>
      <c r="BT180" s="148"/>
      <c r="BU180" s="148"/>
      <c r="BV180" s="148"/>
      <c r="BW180" s="148"/>
      <c r="BX180" s="148"/>
      <c r="BY180" s="148"/>
      <c r="BZ180" s="148"/>
      <c r="CA180" s="148"/>
      <c r="CB180" s="148"/>
      <c r="CC180" s="148"/>
      <c r="CD180" s="148"/>
      <c r="CE180" s="148"/>
      <c r="CF180" s="148"/>
      <c r="CG180" s="148"/>
      <c r="CH180" s="148"/>
      <c r="CJ180" s="148"/>
      <c r="CK180" s="148"/>
    </row>
    <row r="181" spans="1:89">
      <c r="A181" s="148"/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BA181" s="148"/>
      <c r="BM181" s="148"/>
      <c r="BN181" s="148"/>
      <c r="BO181" s="148"/>
      <c r="BP181" s="148"/>
      <c r="BQ181" s="148"/>
      <c r="BR181" s="148"/>
      <c r="BS181" s="148"/>
      <c r="BT181" s="148"/>
      <c r="BU181" s="148"/>
      <c r="BV181" s="148"/>
      <c r="BW181" s="148"/>
      <c r="BX181" s="148"/>
      <c r="BY181" s="148"/>
      <c r="BZ181" s="148"/>
      <c r="CA181" s="148"/>
      <c r="CB181" s="148"/>
      <c r="CC181" s="148"/>
      <c r="CD181" s="148"/>
      <c r="CE181" s="148"/>
      <c r="CF181" s="148"/>
      <c r="CG181" s="148"/>
      <c r="CH181" s="148"/>
      <c r="CJ181" s="148"/>
      <c r="CK181" s="148"/>
    </row>
    <row r="182" spans="1:89">
      <c r="A182" s="148"/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BA182" s="148"/>
      <c r="BM182" s="148"/>
      <c r="BN182" s="148"/>
      <c r="BO182" s="148"/>
      <c r="BP182" s="148"/>
      <c r="BQ182" s="148"/>
      <c r="BR182" s="148"/>
      <c r="BS182" s="148"/>
      <c r="BT182" s="148"/>
      <c r="BU182" s="148"/>
      <c r="BV182" s="148"/>
      <c r="BW182" s="148"/>
      <c r="BX182" s="148"/>
      <c r="BY182" s="148"/>
      <c r="BZ182" s="148"/>
      <c r="CA182" s="148"/>
      <c r="CB182" s="148"/>
      <c r="CC182" s="148"/>
      <c r="CD182" s="148"/>
      <c r="CE182" s="148"/>
      <c r="CF182" s="148"/>
      <c r="CG182" s="148"/>
      <c r="CH182" s="148"/>
      <c r="CJ182" s="148"/>
      <c r="CK182" s="148"/>
    </row>
    <row r="183" spans="1:89">
      <c r="A183" s="148"/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BA183" s="148"/>
      <c r="BM183" s="148"/>
      <c r="BN183" s="148"/>
      <c r="BO183" s="148"/>
      <c r="BP183" s="148"/>
      <c r="BQ183" s="148"/>
      <c r="BR183" s="148"/>
      <c r="BS183" s="148"/>
      <c r="BT183" s="148"/>
      <c r="BU183" s="148"/>
      <c r="BV183" s="148"/>
      <c r="BW183" s="148"/>
      <c r="BX183" s="148"/>
      <c r="BY183" s="148"/>
      <c r="BZ183" s="148"/>
      <c r="CA183" s="148"/>
      <c r="CB183" s="148"/>
      <c r="CC183" s="148"/>
      <c r="CD183" s="148"/>
      <c r="CE183" s="148"/>
      <c r="CF183" s="148"/>
      <c r="CG183" s="148"/>
      <c r="CH183" s="148"/>
      <c r="CJ183" s="148"/>
      <c r="CK183" s="148"/>
    </row>
    <row r="184" spans="1:89">
      <c r="A184" s="148"/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BA184" s="148"/>
      <c r="BM184" s="148"/>
      <c r="BN184" s="148"/>
      <c r="BO184" s="148"/>
      <c r="BP184" s="148"/>
      <c r="BQ184" s="148"/>
      <c r="BR184" s="148"/>
      <c r="BS184" s="148"/>
      <c r="BT184" s="148"/>
      <c r="BU184" s="148"/>
      <c r="BV184" s="148"/>
      <c r="BW184" s="148"/>
      <c r="BX184" s="148"/>
      <c r="BY184" s="148"/>
      <c r="BZ184" s="148"/>
      <c r="CA184" s="148"/>
      <c r="CB184" s="148"/>
      <c r="CC184" s="148"/>
      <c r="CD184" s="148"/>
      <c r="CE184" s="148"/>
      <c r="CF184" s="148"/>
      <c r="CG184" s="148"/>
      <c r="CH184" s="148"/>
      <c r="CJ184" s="148"/>
      <c r="CK184" s="148"/>
    </row>
    <row r="185" spans="1:89">
      <c r="A185" s="148"/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BA185" s="148"/>
      <c r="BM185" s="148"/>
      <c r="BN185" s="148"/>
      <c r="BO185" s="148"/>
      <c r="BP185" s="148"/>
      <c r="BQ185" s="148"/>
      <c r="BR185" s="148"/>
      <c r="BS185" s="148"/>
      <c r="BT185" s="148"/>
      <c r="BU185" s="148"/>
      <c r="BV185" s="148"/>
      <c r="BW185" s="148"/>
      <c r="BX185" s="148"/>
      <c r="BY185" s="148"/>
      <c r="BZ185" s="148"/>
      <c r="CA185" s="148"/>
      <c r="CB185" s="148"/>
      <c r="CC185" s="148"/>
      <c r="CD185" s="148"/>
      <c r="CE185" s="148"/>
      <c r="CF185" s="148"/>
      <c r="CG185" s="148"/>
      <c r="CH185" s="148"/>
      <c r="CJ185" s="148"/>
      <c r="CK185" s="148"/>
    </row>
    <row r="186" spans="1:89">
      <c r="A186" s="148"/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BA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J186" s="148"/>
      <c r="CK186" s="148"/>
    </row>
    <row r="187" spans="1:89">
      <c r="A187" s="148"/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BA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J187" s="148"/>
      <c r="CK187" s="148"/>
    </row>
    <row r="188" spans="1:89">
      <c r="A188" s="148"/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BA188" s="148"/>
      <c r="BM188" s="148"/>
      <c r="BN188" s="148"/>
      <c r="BO188" s="148"/>
      <c r="BP188" s="148"/>
      <c r="BQ188" s="148"/>
      <c r="BR188" s="148"/>
      <c r="BS188" s="148"/>
      <c r="BT188" s="148"/>
      <c r="BU188" s="148"/>
      <c r="BV188" s="148"/>
      <c r="BW188" s="148"/>
      <c r="BX188" s="148"/>
      <c r="BY188" s="148"/>
      <c r="BZ188" s="148"/>
      <c r="CA188" s="148"/>
      <c r="CB188" s="148"/>
      <c r="CC188" s="148"/>
      <c r="CD188" s="148"/>
      <c r="CE188" s="148"/>
      <c r="CF188" s="148"/>
      <c r="CG188" s="148"/>
      <c r="CH188" s="148"/>
      <c r="CJ188" s="148"/>
      <c r="CK188" s="148"/>
    </row>
    <row r="189" spans="1:89">
      <c r="A189" s="148"/>
      <c r="B189" s="148"/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BA189" s="148"/>
      <c r="BM189" s="148"/>
      <c r="BN189" s="148"/>
      <c r="BO189" s="148"/>
      <c r="BP189" s="148"/>
      <c r="BQ189" s="148"/>
      <c r="BR189" s="148"/>
      <c r="BS189" s="148"/>
      <c r="BT189" s="148"/>
      <c r="BU189" s="148"/>
      <c r="BV189" s="148"/>
      <c r="BW189" s="148"/>
      <c r="BX189" s="148"/>
      <c r="BY189" s="148"/>
      <c r="BZ189" s="148"/>
      <c r="CA189" s="148"/>
      <c r="CB189" s="148"/>
      <c r="CC189" s="148"/>
      <c r="CD189" s="148"/>
      <c r="CE189" s="148"/>
      <c r="CF189" s="148"/>
      <c r="CG189" s="148"/>
      <c r="CH189" s="148"/>
      <c r="CJ189" s="148"/>
      <c r="CK189" s="148"/>
    </row>
    <row r="190" spans="1:89">
      <c r="A190" s="148"/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BA190" s="148"/>
      <c r="BM190" s="148"/>
      <c r="BN190" s="148"/>
      <c r="BO190" s="148"/>
      <c r="BP190" s="148"/>
      <c r="BQ190" s="148"/>
      <c r="BR190" s="148"/>
      <c r="BS190" s="148"/>
      <c r="BT190" s="148"/>
      <c r="BU190" s="148"/>
      <c r="BV190" s="148"/>
      <c r="BW190" s="148"/>
      <c r="BX190" s="148"/>
      <c r="BY190" s="148"/>
      <c r="BZ190" s="148"/>
      <c r="CA190" s="148"/>
      <c r="CB190" s="148"/>
      <c r="CC190" s="148"/>
      <c r="CD190" s="148"/>
      <c r="CE190" s="148"/>
      <c r="CF190" s="148"/>
      <c r="CG190" s="148"/>
      <c r="CH190" s="148"/>
      <c r="CJ190" s="148"/>
      <c r="CK190" s="148"/>
    </row>
    <row r="191" spans="1:89">
      <c r="A191" s="148"/>
      <c r="B191" s="148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BA191" s="148"/>
      <c r="BM191" s="148"/>
      <c r="BN191" s="148"/>
      <c r="BO191" s="148"/>
      <c r="BP191" s="148"/>
      <c r="BQ191" s="148"/>
      <c r="BR191" s="148"/>
      <c r="BS191" s="148"/>
      <c r="BT191" s="148"/>
      <c r="BU191" s="148"/>
      <c r="BV191" s="148"/>
      <c r="BW191" s="148"/>
      <c r="BX191" s="148"/>
      <c r="BY191" s="148"/>
      <c r="BZ191" s="148"/>
      <c r="CA191" s="148"/>
      <c r="CB191" s="148"/>
      <c r="CC191" s="148"/>
      <c r="CD191" s="148"/>
      <c r="CE191" s="148"/>
      <c r="CF191" s="148"/>
      <c r="CG191" s="148"/>
      <c r="CH191" s="148"/>
      <c r="CJ191" s="148"/>
      <c r="CK191" s="148"/>
    </row>
  </sheetData>
  <sheetProtection password="C6AC" sheet="1" objects="1" scenarios="1" autoFilter="0"/>
  <autoFilter ref="L1:CK155">
    <filterColumn colId="0" showButton="0"/>
    <filterColumn colId="1" showButton="0"/>
    <filterColumn colId="2" showButton="0"/>
  </autoFilter>
  <sortState ref="C40:C50">
    <sortCondition ref="C40:C50"/>
  </sortState>
  <mergeCells count="53">
    <mergeCell ref="B111:I111"/>
    <mergeCell ref="A67:B67"/>
    <mergeCell ref="J89:K89"/>
    <mergeCell ref="E44:F44"/>
    <mergeCell ref="A68:B68"/>
    <mergeCell ref="A101:B101"/>
    <mergeCell ref="C54:I54"/>
    <mergeCell ref="J92:K92"/>
    <mergeCell ref="J93:K93"/>
    <mergeCell ref="J91:K91"/>
    <mergeCell ref="E49:F49"/>
    <mergeCell ref="H49:I49"/>
    <mergeCell ref="H50:I50"/>
    <mergeCell ref="A69:B69"/>
    <mergeCell ref="A86:K86"/>
    <mergeCell ref="C101:K101"/>
    <mergeCell ref="L1:O1"/>
    <mergeCell ref="A17:B17"/>
    <mergeCell ref="A1:B1"/>
    <mergeCell ref="A15:B15"/>
    <mergeCell ref="A16:B16"/>
    <mergeCell ref="E17:F17"/>
    <mergeCell ref="I16:J16"/>
    <mergeCell ref="G1:H1"/>
    <mergeCell ref="I13:J13"/>
    <mergeCell ref="G13:H13"/>
    <mergeCell ref="A18:B18"/>
    <mergeCell ref="J88:K88"/>
    <mergeCell ref="H46:I46"/>
    <mergeCell ref="H48:I48"/>
    <mergeCell ref="J90:K90"/>
    <mergeCell ref="A22:B22"/>
    <mergeCell ref="C22:K22"/>
    <mergeCell ref="C63:D63"/>
    <mergeCell ref="E50:F50"/>
    <mergeCell ref="E51:F51"/>
    <mergeCell ref="E52:F52"/>
    <mergeCell ref="E40:F40"/>
    <mergeCell ref="E45:F45"/>
    <mergeCell ref="E46:F46"/>
    <mergeCell ref="E47:F47"/>
    <mergeCell ref="E48:F48"/>
    <mergeCell ref="A20:H20"/>
    <mergeCell ref="E41:F41"/>
    <mergeCell ref="E42:F42"/>
    <mergeCell ref="E43:F43"/>
    <mergeCell ref="C62:D62"/>
    <mergeCell ref="H40:I40"/>
    <mergeCell ref="H41:I41"/>
    <mergeCell ref="H42:I42"/>
    <mergeCell ref="H43:I43"/>
    <mergeCell ref="H44:I44"/>
    <mergeCell ref="H45:I45"/>
  </mergeCells>
  <conditionalFormatting sqref="BB156:BK1048576 BX1:CI1 BB1:BK89 BB94:BK154">
    <cfRule type="containsText" dxfId="4" priority="32" operator="containsText" text="k10">
      <formula>NOT(ISERROR(SEARCH("k10",BB1)))</formula>
    </cfRule>
  </conditionalFormatting>
  <conditionalFormatting sqref="BB91:BK91">
    <cfRule type="containsText" dxfId="3" priority="4" operator="containsText" text="k10">
      <formula>NOT(ISERROR(SEARCH("k10",BB91)))</formula>
    </cfRule>
  </conditionalFormatting>
  <conditionalFormatting sqref="BB90:BK90">
    <cfRule type="containsText" dxfId="2" priority="3" operator="containsText" text="k10">
      <formula>NOT(ISERROR(SEARCH("k10",BB90)))</formula>
    </cfRule>
  </conditionalFormatting>
  <conditionalFormatting sqref="BB93:BK93">
    <cfRule type="containsText" dxfId="1" priority="2" operator="containsText" text="k10">
      <formula>NOT(ISERROR(SEARCH("k10",BB93)))</formula>
    </cfRule>
  </conditionalFormatting>
  <conditionalFormatting sqref="BB92:BK92">
    <cfRule type="containsText" dxfId="0" priority="1" operator="containsText" text="k10">
      <formula>NOT(ISERROR(SEARCH("k10",BB92)))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/>
  <dimension ref="A1:T1893"/>
  <sheetViews>
    <sheetView workbookViewId="0">
      <pane xSplit="1" ySplit="1" topLeftCell="B174" activePane="bottomRight" state="frozen"/>
      <selection pane="topRight" activeCell="B1" sqref="B1"/>
      <selection pane="bottomLeft" activeCell="A3" sqref="A3"/>
      <selection pane="bottomRight" activeCell="C212" sqref="C212"/>
    </sheetView>
  </sheetViews>
  <sheetFormatPr defaultColWidth="8.85546875" defaultRowHeight="15"/>
  <cols>
    <col min="1" max="1" width="24.7109375" customWidth="1"/>
    <col min="2" max="2" width="13.5703125" style="2" bestFit="1" customWidth="1"/>
    <col min="3" max="6" width="6.7109375" customWidth="1"/>
    <col min="7" max="7" width="17.7109375" bestFit="1" customWidth="1"/>
    <col min="8" max="8" width="5.7109375" style="7" customWidth="1"/>
    <col min="9" max="9" width="12.7109375" customWidth="1"/>
    <col min="10" max="10" width="9.7109375" customWidth="1"/>
    <col min="11" max="11" width="6.7109375" customWidth="1"/>
    <col min="12" max="12" width="12.7109375" customWidth="1"/>
    <col min="13" max="14" width="6.7109375" customWidth="1"/>
    <col min="15" max="15" width="45.7109375" style="2" customWidth="1"/>
    <col min="16" max="16" width="15.7109375" customWidth="1"/>
    <col min="17" max="17" width="10.28515625" bestFit="1" customWidth="1"/>
  </cols>
  <sheetData>
    <row r="1" spans="1:20" ht="15.75">
      <c r="A1" s="76" t="s">
        <v>532</v>
      </c>
      <c r="B1" s="76" t="s">
        <v>533</v>
      </c>
      <c r="C1" s="76" t="s">
        <v>139</v>
      </c>
      <c r="D1" s="76" t="s">
        <v>47</v>
      </c>
      <c r="E1" s="76" t="s">
        <v>562</v>
      </c>
      <c r="F1" s="76" t="s">
        <v>563</v>
      </c>
      <c r="G1" s="76" t="s">
        <v>564</v>
      </c>
      <c r="H1" s="76" t="s">
        <v>762</v>
      </c>
      <c r="I1" s="76" t="s">
        <v>565</v>
      </c>
      <c r="J1" s="84" t="s">
        <v>566</v>
      </c>
      <c r="K1" s="76" t="s">
        <v>567</v>
      </c>
      <c r="L1" s="76" t="s">
        <v>551</v>
      </c>
      <c r="M1" s="84" t="s">
        <v>542</v>
      </c>
      <c r="N1" s="76" t="s">
        <v>541</v>
      </c>
      <c r="O1" s="84" t="s">
        <v>552</v>
      </c>
      <c r="P1" s="77" t="s">
        <v>556</v>
      </c>
      <c r="T1" s="7"/>
    </row>
    <row r="2" spans="1:20">
      <c r="A2" s="22" t="s">
        <v>444</v>
      </c>
      <c r="B2" s="79" t="s">
        <v>539</v>
      </c>
      <c r="C2" s="108" t="str">
        <f>IF(OR(AND(gyorsaság&gt;=16,ügyesség&gt;=16),tapasztaltharcos),"2x","1x")</f>
        <v>1x</v>
      </c>
      <c r="D2" s="86">
        <v>4</v>
      </c>
      <c r="E2" s="86">
        <v>17</v>
      </c>
      <c r="F2" s="86">
        <v>13</v>
      </c>
      <c r="G2" s="83" t="str">
        <f t="shared" ref="G2:G42" si="0">$I2&amp;IF($J2="","",IF(erő&lt;=VALUE(MID($J2,2,2)),"","+"&amp;TEXT(erő-VALUE(MID($J2,2,2)),"0")))</f>
        <v>k6</v>
      </c>
      <c r="H2" s="104">
        <v>5</v>
      </c>
      <c r="I2" s="82" t="s">
        <v>575</v>
      </c>
      <c r="J2" s="79" t="s">
        <v>152</v>
      </c>
      <c r="K2" s="87">
        <v>1.1000000000000001</v>
      </c>
      <c r="L2" s="85" t="s">
        <v>223</v>
      </c>
      <c r="M2" s="79" t="s">
        <v>141</v>
      </c>
      <c r="N2" s="79" t="s">
        <v>149</v>
      </c>
      <c r="O2" s="78"/>
      <c r="P2" s="79" t="s">
        <v>655</v>
      </c>
    </row>
    <row r="3" spans="1:20">
      <c r="A3" s="22" t="s">
        <v>384</v>
      </c>
      <c r="B3" s="79" t="s">
        <v>540</v>
      </c>
      <c r="C3" s="108" t="str">
        <f>IF(OR(AND(gyorsaság&gt;=16,ügyesség&gt;=16),tapasztaltharcos),"2x","1x")</f>
        <v>1x</v>
      </c>
      <c r="D3" s="86">
        <v>10</v>
      </c>
      <c r="E3" s="86">
        <v>4</v>
      </c>
      <c r="F3" s="86">
        <v>0</v>
      </c>
      <c r="G3" s="83" t="str">
        <f t="shared" si="0"/>
        <v>k3</v>
      </c>
      <c r="H3" s="104">
        <v>5</v>
      </c>
      <c r="I3" s="82" t="s">
        <v>576</v>
      </c>
      <c r="J3" s="79" t="s">
        <v>140</v>
      </c>
      <c r="K3" s="87">
        <v>0.2</v>
      </c>
      <c r="L3" s="85" t="s">
        <v>183</v>
      </c>
      <c r="M3" s="79" t="s">
        <v>141</v>
      </c>
      <c r="N3" s="79" t="s">
        <v>142</v>
      </c>
      <c r="O3" s="78" t="s">
        <v>553</v>
      </c>
      <c r="P3" s="79" t="s">
        <v>570</v>
      </c>
      <c r="R3" s="7"/>
    </row>
    <row r="4" spans="1:20">
      <c r="A4" s="22" t="s">
        <v>473</v>
      </c>
      <c r="B4" s="79" t="s">
        <v>538</v>
      </c>
      <c r="C4" s="108" t="str">
        <f>IF(OR(tapasztaltharcos),"1x","1/2x")</f>
        <v>1/2x</v>
      </c>
      <c r="D4" s="86">
        <v>1</v>
      </c>
      <c r="E4" s="86">
        <v>14</v>
      </c>
      <c r="F4" s="86">
        <v>15</v>
      </c>
      <c r="G4" s="83" t="str">
        <f t="shared" si="0"/>
        <v>2k6+2</v>
      </c>
      <c r="H4" s="104">
        <v>5</v>
      </c>
      <c r="I4" s="89" t="s">
        <v>587</v>
      </c>
      <c r="J4" s="79" t="s">
        <v>140</v>
      </c>
      <c r="K4" s="87">
        <v>3</v>
      </c>
      <c r="L4" s="85" t="s">
        <v>596</v>
      </c>
      <c r="M4" s="79" t="s">
        <v>142</v>
      </c>
      <c r="N4" s="79" t="s">
        <v>159</v>
      </c>
      <c r="O4" s="78"/>
      <c r="P4" s="79" t="s">
        <v>615</v>
      </c>
      <c r="R4" s="7"/>
    </row>
    <row r="5" spans="1:20">
      <c r="A5" s="22" t="s">
        <v>491</v>
      </c>
      <c r="B5" s="79" t="s">
        <v>534</v>
      </c>
      <c r="C5" s="108" t="str">
        <f>IF(OR(AND(gyorsaság&gt;=16,ügyesség&gt;=16),tapasztaltharcos),"2x","1x")</f>
        <v>1x</v>
      </c>
      <c r="D5" s="86">
        <v>9</v>
      </c>
      <c r="E5" s="86">
        <v>5</v>
      </c>
      <c r="F5" s="86">
        <v>2</v>
      </c>
      <c r="G5" s="83" t="str">
        <f t="shared" si="0"/>
        <v>k3</v>
      </c>
      <c r="H5" s="104">
        <v>5</v>
      </c>
      <c r="I5" s="89" t="s">
        <v>576</v>
      </c>
      <c r="J5" s="79" t="s">
        <v>140</v>
      </c>
      <c r="K5" s="87">
        <v>0.3</v>
      </c>
      <c r="L5" s="85" t="s">
        <v>202</v>
      </c>
      <c r="M5" s="79" t="s">
        <v>141</v>
      </c>
      <c r="N5" s="79" t="s">
        <v>142</v>
      </c>
      <c r="O5" s="78" t="s">
        <v>203</v>
      </c>
      <c r="P5" s="79" t="s">
        <v>590</v>
      </c>
      <c r="R5" s="7"/>
    </row>
    <row r="6" spans="1:20" s="148" customFormat="1">
      <c r="A6" s="191" t="s">
        <v>1156</v>
      </c>
      <c r="B6" s="189" t="s">
        <v>540</v>
      </c>
      <c r="C6" s="115" t="str">
        <f>IF(OR(AND(gyorsaság&gt;=16,ügyesség&gt;=16),tapasztaltharcos),"2x","1x")</f>
        <v>1x</v>
      </c>
      <c r="D6" s="88">
        <v>10</v>
      </c>
      <c r="E6" s="88">
        <v>8</v>
      </c>
      <c r="F6" s="88">
        <v>5</v>
      </c>
      <c r="G6" s="103" t="str">
        <f t="shared" si="0"/>
        <v>k6+1</v>
      </c>
      <c r="H6" s="104">
        <v>5</v>
      </c>
      <c r="I6" s="89" t="s">
        <v>558</v>
      </c>
      <c r="J6" s="189" t="s">
        <v>140</v>
      </c>
      <c r="K6" s="201">
        <v>0.4</v>
      </c>
      <c r="L6" s="190" t="s">
        <v>1159</v>
      </c>
      <c r="M6" s="189" t="s">
        <v>141</v>
      </c>
      <c r="N6" s="189" t="s">
        <v>1160</v>
      </c>
      <c r="O6" s="202" t="s">
        <v>1158</v>
      </c>
      <c r="P6" s="79"/>
    </row>
    <row r="7" spans="1:20" s="148" customFormat="1">
      <c r="A7" s="191" t="s">
        <v>1157</v>
      </c>
      <c r="B7" s="189" t="s">
        <v>540</v>
      </c>
      <c r="C7" s="115" t="str">
        <f>IF(OR(AND(gyorsaság&gt;=16,ügyesség&gt;=16),tapasztaltharcos),"2x","1x")</f>
        <v>1x</v>
      </c>
      <c r="D7" s="88">
        <v>10</v>
      </c>
      <c r="E7" s="88">
        <v>8</v>
      </c>
      <c r="F7" s="88">
        <v>20</v>
      </c>
      <c r="G7" s="103" t="str">
        <f t="shared" si="0"/>
        <v>k6+1</v>
      </c>
      <c r="H7" s="104">
        <v>5</v>
      </c>
      <c r="I7" s="89" t="s">
        <v>558</v>
      </c>
      <c r="J7" s="189" t="s">
        <v>140</v>
      </c>
      <c r="K7" s="201">
        <v>0.4</v>
      </c>
      <c r="L7" s="190" t="s">
        <v>1159</v>
      </c>
      <c r="M7" s="189" t="s">
        <v>141</v>
      </c>
      <c r="N7" s="189" t="s">
        <v>1160</v>
      </c>
      <c r="O7" s="202" t="s">
        <v>1158</v>
      </c>
      <c r="P7" s="79"/>
    </row>
    <row r="8" spans="1:20">
      <c r="A8" s="22" t="s">
        <v>511</v>
      </c>
      <c r="B8" s="79" t="s">
        <v>535</v>
      </c>
      <c r="C8" s="108" t="str">
        <f>IF(AND(gyorsaság&gt;=14,ügyesség&gt;=14),"2x","1x")</f>
        <v>1x</v>
      </c>
      <c r="D8" s="86">
        <v>5</v>
      </c>
      <c r="E8" s="86">
        <v>18</v>
      </c>
      <c r="F8" s="86">
        <v>35</v>
      </c>
      <c r="G8" s="83" t="str">
        <f t="shared" si="0"/>
        <v>k5</v>
      </c>
      <c r="H8" s="104">
        <v>5</v>
      </c>
      <c r="I8" s="82" t="s">
        <v>581</v>
      </c>
      <c r="J8" s="79"/>
      <c r="K8" s="87">
        <v>2</v>
      </c>
      <c r="L8" s="85" t="s">
        <v>621</v>
      </c>
      <c r="M8" s="79" t="s">
        <v>142</v>
      </c>
      <c r="N8" s="79" t="s">
        <v>141</v>
      </c>
      <c r="O8" s="78"/>
      <c r="P8" s="79" t="s">
        <v>615</v>
      </c>
      <c r="R8" s="7"/>
    </row>
    <row r="9" spans="1:20">
      <c r="A9" s="22" t="s">
        <v>512</v>
      </c>
      <c r="B9" s="79" t="s">
        <v>535</v>
      </c>
      <c r="C9" s="108" t="str">
        <f>"1/2x"</f>
        <v>1/2x</v>
      </c>
      <c r="D9" s="86">
        <v>4</v>
      </c>
      <c r="E9" s="86">
        <v>10</v>
      </c>
      <c r="F9" s="86">
        <v>30</v>
      </c>
      <c r="G9" s="83" t="str">
        <f t="shared" si="0"/>
        <v>k5</v>
      </c>
      <c r="H9" s="104">
        <v>5</v>
      </c>
      <c r="I9" s="82" t="s">
        <v>581</v>
      </c>
      <c r="J9" s="79" t="s">
        <v>140</v>
      </c>
      <c r="K9" s="87">
        <v>2</v>
      </c>
      <c r="L9" s="85" t="s">
        <v>607</v>
      </c>
      <c r="M9" s="79" t="s">
        <v>142</v>
      </c>
      <c r="N9" s="79" t="s">
        <v>149</v>
      </c>
      <c r="O9" s="78" t="s">
        <v>216</v>
      </c>
      <c r="P9" s="79" t="s">
        <v>673</v>
      </c>
      <c r="R9" s="7"/>
    </row>
    <row r="10" spans="1:20" s="148" customFormat="1">
      <c r="A10" s="191" t="s">
        <v>1166</v>
      </c>
      <c r="B10" s="189" t="s">
        <v>537</v>
      </c>
      <c r="C10" s="115" t="str">
        <f>IF(OR(tapasztaltharcos),"2x","1x")</f>
        <v>1x</v>
      </c>
      <c r="D10" s="88">
        <v>2</v>
      </c>
      <c r="E10" s="88">
        <v>8</v>
      </c>
      <c r="F10" s="88">
        <v>15</v>
      </c>
      <c r="G10" s="103" t="str">
        <f t="shared" si="0"/>
        <v>2k6+2</v>
      </c>
      <c r="H10" s="104">
        <v>5</v>
      </c>
      <c r="I10" s="89" t="s">
        <v>587</v>
      </c>
      <c r="J10" s="189" t="s">
        <v>140</v>
      </c>
      <c r="K10" s="201">
        <v>2</v>
      </c>
      <c r="L10" s="190" t="s">
        <v>549</v>
      </c>
      <c r="M10" s="189" t="s">
        <v>141</v>
      </c>
      <c r="N10" s="189" t="s">
        <v>151</v>
      </c>
      <c r="O10" s="78" t="s">
        <v>1165</v>
      </c>
      <c r="P10" s="79"/>
    </row>
    <row r="11" spans="1:20" s="148" customFormat="1">
      <c r="A11" s="191" t="s">
        <v>1167</v>
      </c>
      <c r="B11" s="189" t="s">
        <v>537</v>
      </c>
      <c r="C11" s="115" t="str">
        <f>IF(OR(tapasztaltharcos),"2x","1x")</f>
        <v>1x</v>
      </c>
      <c r="D11" s="88">
        <v>2</v>
      </c>
      <c r="E11" s="88">
        <v>8</v>
      </c>
      <c r="F11" s="88">
        <v>25</v>
      </c>
      <c r="G11" s="103" t="str">
        <f t="shared" si="0"/>
        <v>2k6+2</v>
      </c>
      <c r="H11" s="104">
        <v>5</v>
      </c>
      <c r="I11" s="89" t="s">
        <v>587</v>
      </c>
      <c r="J11" s="189" t="s">
        <v>140</v>
      </c>
      <c r="K11" s="201">
        <v>2</v>
      </c>
      <c r="L11" s="190" t="s">
        <v>549</v>
      </c>
      <c r="M11" s="189" t="s">
        <v>141</v>
      </c>
      <c r="N11" s="189" t="s">
        <v>151</v>
      </c>
      <c r="O11" s="78" t="s">
        <v>1165</v>
      </c>
      <c r="P11" s="79"/>
    </row>
    <row r="12" spans="1:20">
      <c r="A12" s="22" t="s">
        <v>492</v>
      </c>
      <c r="B12" s="79" t="s">
        <v>534</v>
      </c>
      <c r="C12" s="108" t="str">
        <f>IF(OR(AND(gyorsaság&gt;=16,ügyesség&gt;=16),tapasztaltharcos),"2x","1x")</f>
        <v>1x</v>
      </c>
      <c r="D12" s="86">
        <v>10</v>
      </c>
      <c r="E12" s="86">
        <v>18</v>
      </c>
      <c r="F12" s="86">
        <v>5</v>
      </c>
      <c r="G12" s="83" t="str">
        <f t="shared" si="0"/>
        <v>k5</v>
      </c>
      <c r="H12" s="104">
        <v>5</v>
      </c>
      <c r="I12" s="82" t="s">
        <v>581</v>
      </c>
      <c r="J12" s="81" t="s">
        <v>140</v>
      </c>
      <c r="K12" s="91">
        <v>0.7</v>
      </c>
      <c r="L12" s="92" t="s">
        <v>204</v>
      </c>
      <c r="M12" s="79" t="s">
        <v>142</v>
      </c>
      <c r="N12" s="79" t="s">
        <v>142</v>
      </c>
      <c r="O12" s="78" t="s">
        <v>205</v>
      </c>
      <c r="P12" s="79" t="s">
        <v>580</v>
      </c>
      <c r="R12" s="7"/>
    </row>
    <row r="13" spans="1:20">
      <c r="A13" s="22" t="s">
        <v>385</v>
      </c>
      <c r="B13" s="79" t="s">
        <v>540</v>
      </c>
      <c r="C13" s="108" t="str">
        <f>IF(OR(AND(gyorsaság&gt;=16,ügyesség&gt;=16),tapasztaltharcos),"2x","1x")</f>
        <v>1x</v>
      </c>
      <c r="D13" s="86">
        <v>12</v>
      </c>
      <c r="E13" s="86">
        <v>9</v>
      </c>
      <c r="F13" s="86">
        <v>2</v>
      </c>
      <c r="G13" s="83" t="str">
        <f t="shared" si="0"/>
        <v>k6+2</v>
      </c>
      <c r="H13" s="104">
        <v>5</v>
      </c>
      <c r="I13" s="82" t="s">
        <v>557</v>
      </c>
      <c r="J13" s="79" t="s">
        <v>140</v>
      </c>
      <c r="K13" s="87">
        <v>0.3</v>
      </c>
      <c r="L13" s="85" t="s">
        <v>619</v>
      </c>
      <c r="M13" s="79" t="s">
        <v>141</v>
      </c>
      <c r="N13" s="79" t="s">
        <v>142</v>
      </c>
      <c r="O13" s="78" t="s">
        <v>145</v>
      </c>
      <c r="P13" s="79" t="s">
        <v>642</v>
      </c>
      <c r="R13" s="7"/>
    </row>
    <row r="14" spans="1:20">
      <c r="A14" s="22" t="s">
        <v>386</v>
      </c>
      <c r="B14" s="79" t="s">
        <v>540</v>
      </c>
      <c r="C14" s="108" t="str">
        <f>IF(OR(AND(gyorsaság&gt;=16,ügyesség&gt;=16),tapasztaltharcos),"2x","1x")</f>
        <v>1x</v>
      </c>
      <c r="D14" s="86">
        <v>8</v>
      </c>
      <c r="E14" s="86">
        <v>10</v>
      </c>
      <c r="F14" s="86">
        <v>8</v>
      </c>
      <c r="G14" s="83" t="str">
        <f t="shared" si="0"/>
        <v>k6</v>
      </c>
      <c r="H14" s="104">
        <v>5</v>
      </c>
      <c r="I14" s="82" t="s">
        <v>575</v>
      </c>
      <c r="J14" s="79" t="s">
        <v>140</v>
      </c>
      <c r="K14" s="87">
        <v>0.3</v>
      </c>
      <c r="L14" s="85" t="s">
        <v>593</v>
      </c>
      <c r="M14" s="79" t="s">
        <v>141</v>
      </c>
      <c r="N14" s="79" t="s">
        <v>142</v>
      </c>
      <c r="O14" s="78" t="s">
        <v>147</v>
      </c>
      <c r="P14" s="79" t="s">
        <v>647</v>
      </c>
      <c r="R14" s="7"/>
    </row>
    <row r="15" spans="1:20">
      <c r="A15" s="22" t="s">
        <v>474</v>
      </c>
      <c r="B15" s="79" t="s">
        <v>538</v>
      </c>
      <c r="C15" s="108" t="str">
        <f>IF(OR(tapasztaltharcos),"2x","1x")</f>
        <v>1x</v>
      </c>
      <c r="D15" s="86">
        <v>5</v>
      </c>
      <c r="E15" s="86">
        <v>10</v>
      </c>
      <c r="F15" s="86">
        <v>8</v>
      </c>
      <c r="G15" s="83" t="str">
        <f t="shared" si="0"/>
        <v>k5</v>
      </c>
      <c r="H15" s="104">
        <v>5</v>
      </c>
      <c r="I15" s="82" t="s">
        <v>581</v>
      </c>
      <c r="J15" s="79" t="s">
        <v>140</v>
      </c>
      <c r="K15" s="87">
        <v>1.5</v>
      </c>
      <c r="L15" s="85" t="s">
        <v>149</v>
      </c>
      <c r="M15" s="79" t="s">
        <v>142</v>
      </c>
      <c r="N15" s="79" t="s">
        <v>149</v>
      </c>
      <c r="O15" s="78" t="s">
        <v>188</v>
      </c>
      <c r="P15" s="79" t="s">
        <v>570</v>
      </c>
      <c r="R15" s="7"/>
    </row>
    <row r="16" spans="1:20">
      <c r="A16" s="22" t="s">
        <v>387</v>
      </c>
      <c r="B16" s="79" t="s">
        <v>540</v>
      </c>
      <c r="C16" s="108" t="str">
        <f>IF(OR(AND(gyorsaság&gt;=16,ügyesség&gt;=16),tapasztaltharcos),"2x","1x")</f>
        <v>1x</v>
      </c>
      <c r="D16" s="86">
        <v>10</v>
      </c>
      <c r="E16" s="86">
        <v>8</v>
      </c>
      <c r="F16" s="86">
        <v>2</v>
      </c>
      <c r="G16" s="83" t="str">
        <f t="shared" si="0"/>
        <v>k6+2</v>
      </c>
      <c r="H16" s="104">
        <v>5</v>
      </c>
      <c r="I16" s="82" t="s">
        <v>557</v>
      </c>
      <c r="J16" s="79" t="s">
        <v>140</v>
      </c>
      <c r="K16" s="87">
        <v>0.3</v>
      </c>
      <c r="L16" s="85" t="s">
        <v>619</v>
      </c>
      <c r="M16" s="79" t="s">
        <v>141</v>
      </c>
      <c r="N16" s="79" t="s">
        <v>142</v>
      </c>
      <c r="O16" s="78"/>
      <c r="P16" s="79" t="s">
        <v>633</v>
      </c>
      <c r="R16" s="7"/>
    </row>
    <row r="17" spans="1:18">
      <c r="A17" s="22" t="s">
        <v>388</v>
      </c>
      <c r="B17" s="79" t="s">
        <v>540</v>
      </c>
      <c r="C17" s="108" t="str">
        <f>IF(OR(tapasztaltharcos),"2x","1x")</f>
        <v>1x</v>
      </c>
      <c r="D17" s="86">
        <v>7</v>
      </c>
      <c r="E17" s="86">
        <v>16</v>
      </c>
      <c r="F17" s="86">
        <v>14</v>
      </c>
      <c r="G17" s="83" t="str">
        <f t="shared" si="0"/>
        <v>k6+2</v>
      </c>
      <c r="H17" s="104">
        <v>5</v>
      </c>
      <c r="I17" s="82" t="s">
        <v>557</v>
      </c>
      <c r="J17" s="79" t="s">
        <v>140</v>
      </c>
      <c r="K17" s="87">
        <v>1.2</v>
      </c>
      <c r="L17" s="85" t="s">
        <v>571</v>
      </c>
      <c r="M17" s="79" t="s">
        <v>141</v>
      </c>
      <c r="N17" s="79" t="s">
        <v>151</v>
      </c>
      <c r="O17" s="78"/>
      <c r="P17" s="79" t="s">
        <v>570</v>
      </c>
      <c r="R17" s="7"/>
    </row>
    <row r="18" spans="1:18">
      <c r="A18" s="22" t="s">
        <v>475</v>
      </c>
      <c r="B18" s="79" t="s">
        <v>538</v>
      </c>
      <c r="C18" s="108" t="str">
        <f>IF(OR(tapasztaltharcos),"1x","1/2x")</f>
        <v>1/2x</v>
      </c>
      <c r="D18" s="90">
        <v>2</v>
      </c>
      <c r="E18" s="90">
        <v>14</v>
      </c>
      <c r="F18" s="90">
        <v>10</v>
      </c>
      <c r="G18" s="83" t="str">
        <f t="shared" si="0"/>
        <v>3k6-1</v>
      </c>
      <c r="H18" s="104">
        <v>5</v>
      </c>
      <c r="I18" s="80" t="s">
        <v>127</v>
      </c>
      <c r="J18" s="79" t="s">
        <v>140</v>
      </c>
      <c r="K18" s="87">
        <v>6</v>
      </c>
      <c r="L18" s="85" t="s">
        <v>577</v>
      </c>
      <c r="M18" s="79" t="s">
        <v>142</v>
      </c>
      <c r="N18" s="79" t="s">
        <v>143</v>
      </c>
      <c r="O18" s="78" t="s">
        <v>189</v>
      </c>
      <c r="P18" s="79" t="s">
        <v>580</v>
      </c>
      <c r="R18" s="7"/>
    </row>
    <row r="19" spans="1:18" s="148" customFormat="1">
      <c r="A19" s="191" t="s">
        <v>1163</v>
      </c>
      <c r="B19" s="189" t="s">
        <v>540</v>
      </c>
      <c r="C19" s="115" t="str">
        <f>IF(OR(AND(gyorsaság&gt;=16,ügyesség&gt;=16),tapasztaltharcos),"2x","1x")</f>
        <v>1x</v>
      </c>
      <c r="D19" s="88">
        <v>10</v>
      </c>
      <c r="E19" s="88">
        <v>12</v>
      </c>
      <c r="F19" s="88">
        <v>10</v>
      </c>
      <c r="G19" s="103" t="str">
        <f t="shared" si="0"/>
        <v>k6+2</v>
      </c>
      <c r="H19" s="104">
        <v>5</v>
      </c>
      <c r="I19" s="89" t="s">
        <v>557</v>
      </c>
      <c r="J19" s="189" t="s">
        <v>140</v>
      </c>
      <c r="K19" s="201">
        <v>0.8</v>
      </c>
      <c r="L19" s="190" t="s">
        <v>223</v>
      </c>
      <c r="M19" s="189" t="s">
        <v>141</v>
      </c>
      <c r="N19" s="189" t="s">
        <v>142</v>
      </c>
      <c r="O19" s="78" t="s">
        <v>1255</v>
      </c>
      <c r="P19" s="79"/>
    </row>
    <row r="20" spans="1:18">
      <c r="A20" s="22" t="s">
        <v>435</v>
      </c>
      <c r="B20" s="79" t="s">
        <v>536</v>
      </c>
      <c r="C20" s="109" t="str">
        <f>"1x"</f>
        <v>1x</v>
      </c>
      <c r="D20" s="86">
        <v>2</v>
      </c>
      <c r="E20" s="88">
        <v>10</v>
      </c>
      <c r="F20" s="88">
        <v>2</v>
      </c>
      <c r="G20" s="83" t="str">
        <f t="shared" si="0"/>
        <v>k5</v>
      </c>
      <c r="H20" s="104">
        <v>5</v>
      </c>
      <c r="I20" s="82" t="s">
        <v>581</v>
      </c>
      <c r="J20" s="79" t="s">
        <v>140</v>
      </c>
      <c r="K20" s="87">
        <v>0.8</v>
      </c>
      <c r="L20" s="85" t="s">
        <v>604</v>
      </c>
      <c r="M20" s="79" t="s">
        <v>141</v>
      </c>
      <c r="N20" s="79" t="s">
        <v>149</v>
      </c>
      <c r="O20" s="78"/>
      <c r="P20" s="79" t="s">
        <v>615</v>
      </c>
      <c r="R20" s="7"/>
    </row>
    <row r="21" spans="1:18">
      <c r="A21" s="22" t="s">
        <v>445</v>
      </c>
      <c r="B21" s="79" t="s">
        <v>539</v>
      </c>
      <c r="C21" s="108" t="str">
        <f>IF(OR(tapasztaltharcos),"2x","1x")</f>
        <v>1x</v>
      </c>
      <c r="D21" s="86">
        <v>5</v>
      </c>
      <c r="E21" s="86">
        <v>11</v>
      </c>
      <c r="F21" s="86">
        <v>8</v>
      </c>
      <c r="G21" s="83" t="str">
        <f t="shared" si="0"/>
        <v>k10</v>
      </c>
      <c r="H21" s="104">
        <v>5</v>
      </c>
      <c r="I21" s="82" t="s">
        <v>559</v>
      </c>
      <c r="J21" s="79" t="s">
        <v>152</v>
      </c>
      <c r="K21" s="87">
        <v>2.5</v>
      </c>
      <c r="L21" s="85" t="s">
        <v>224</v>
      </c>
      <c r="M21" s="79" t="s">
        <v>141</v>
      </c>
      <c r="N21" s="79" t="s">
        <v>142</v>
      </c>
      <c r="O21" s="78"/>
      <c r="P21" s="79" t="s">
        <v>592</v>
      </c>
      <c r="R21" s="7"/>
    </row>
    <row r="22" spans="1:18">
      <c r="A22" s="22" t="s">
        <v>446</v>
      </c>
      <c r="B22" s="79" t="s">
        <v>539</v>
      </c>
      <c r="C22" s="115" t="str">
        <f>IF(OR(tapasztaltharcos),"2x","1x")</f>
        <v>1x</v>
      </c>
      <c r="D22" s="88">
        <v>7</v>
      </c>
      <c r="E22" s="86">
        <v>13</v>
      </c>
      <c r="F22" s="88">
        <v>14</v>
      </c>
      <c r="G22" s="83" t="str">
        <f t="shared" si="0"/>
        <v>k6+3</v>
      </c>
      <c r="H22" s="104">
        <v>5</v>
      </c>
      <c r="I22" s="89" t="s">
        <v>582</v>
      </c>
      <c r="J22" s="79" t="s">
        <v>152</v>
      </c>
      <c r="K22" s="87">
        <v>2</v>
      </c>
      <c r="L22" s="85" t="s">
        <v>547</v>
      </c>
      <c r="M22" s="79" t="s">
        <v>141</v>
      </c>
      <c r="N22" s="79" t="s">
        <v>143</v>
      </c>
      <c r="O22" s="78"/>
      <c r="P22" s="79" t="s">
        <v>633</v>
      </c>
      <c r="R22" s="7"/>
    </row>
    <row r="23" spans="1:18">
      <c r="A23" s="22" t="s">
        <v>447</v>
      </c>
      <c r="B23" s="79" t="s">
        <v>539</v>
      </c>
      <c r="C23" s="108" t="str">
        <f>IF(OR(tapasztaltharcos),"2x","1x")</f>
        <v>1x</v>
      </c>
      <c r="D23" s="86">
        <v>1</v>
      </c>
      <c r="E23" s="86">
        <v>6</v>
      </c>
      <c r="F23" s="86">
        <v>5</v>
      </c>
      <c r="G23" s="83" t="str">
        <f t="shared" si="0"/>
        <v>k6+1</v>
      </c>
      <c r="H23" s="104">
        <v>5</v>
      </c>
      <c r="I23" s="82" t="s">
        <v>558</v>
      </c>
      <c r="J23" s="79" t="s">
        <v>152</v>
      </c>
      <c r="K23" s="87">
        <v>2.5</v>
      </c>
      <c r="L23" s="85" t="s">
        <v>610</v>
      </c>
      <c r="M23" s="79" t="s">
        <v>142</v>
      </c>
      <c r="N23" s="79" t="s">
        <v>149</v>
      </c>
      <c r="O23" s="78"/>
      <c r="P23" s="79" t="s">
        <v>592</v>
      </c>
      <c r="R23" s="7"/>
    </row>
    <row r="24" spans="1:18">
      <c r="A24" s="22" t="s">
        <v>476</v>
      </c>
      <c r="B24" s="79" t="s">
        <v>538</v>
      </c>
      <c r="C24" s="108" t="str">
        <f>IF(OR(tapasztaltharcos),"2x","1x")</f>
        <v>1x</v>
      </c>
      <c r="D24" s="86">
        <v>5</v>
      </c>
      <c r="E24" s="86">
        <v>12</v>
      </c>
      <c r="F24" s="86">
        <v>12</v>
      </c>
      <c r="G24" s="83" t="str">
        <f t="shared" si="0"/>
        <v>k10/k6+2</v>
      </c>
      <c r="H24" s="104">
        <v>5</v>
      </c>
      <c r="I24" s="82" t="s">
        <v>634</v>
      </c>
      <c r="J24" s="79" t="s">
        <v>140</v>
      </c>
      <c r="K24" s="87">
        <v>2</v>
      </c>
      <c r="L24" s="85" t="s">
        <v>549</v>
      </c>
      <c r="M24" s="79" t="s">
        <v>142</v>
      </c>
      <c r="N24" s="79" t="s">
        <v>190</v>
      </c>
      <c r="O24" s="78" t="s">
        <v>191</v>
      </c>
      <c r="P24" s="79" t="s">
        <v>633</v>
      </c>
      <c r="R24" s="7"/>
    </row>
    <row r="25" spans="1:18">
      <c r="A25" s="22" t="s">
        <v>436</v>
      </c>
      <c r="B25" s="79" t="s">
        <v>536</v>
      </c>
      <c r="C25" s="108" t="str">
        <f>"1/3x"</f>
        <v>1/3x</v>
      </c>
      <c r="D25" s="86">
        <v>1</v>
      </c>
      <c r="E25" s="86">
        <v>8</v>
      </c>
      <c r="F25" s="86">
        <v>4</v>
      </c>
      <c r="G25" s="83" t="str">
        <f t="shared" si="0"/>
        <v>---</v>
      </c>
      <c r="H25" s="104">
        <v>5</v>
      </c>
      <c r="I25" s="105" t="s">
        <v>763</v>
      </c>
      <c r="J25" s="79"/>
      <c r="K25" s="87">
        <v>1</v>
      </c>
      <c r="L25" s="85" t="s">
        <v>546</v>
      </c>
      <c r="M25" s="79" t="s">
        <v>141</v>
      </c>
      <c r="N25" s="79" t="s">
        <v>149</v>
      </c>
      <c r="O25" s="78"/>
      <c r="P25" s="79" t="s">
        <v>615</v>
      </c>
      <c r="R25" s="7"/>
    </row>
    <row r="26" spans="1:18">
      <c r="A26" s="22" t="s">
        <v>437</v>
      </c>
      <c r="B26" s="79" t="s">
        <v>536</v>
      </c>
      <c r="C26" s="108" t="str">
        <f>IF(AND(gyorsaság&gt;=14,ügyesség&gt;=14),"2x","1x")</f>
        <v>1x</v>
      </c>
      <c r="D26" s="86">
        <v>10</v>
      </c>
      <c r="E26" s="86">
        <v>11</v>
      </c>
      <c r="F26" s="86">
        <v>2</v>
      </c>
      <c r="G26" s="83" t="str">
        <f t="shared" si="0"/>
        <v>k6</v>
      </c>
      <c r="H26" s="104">
        <v>5</v>
      </c>
      <c r="I26" s="82" t="s">
        <v>575</v>
      </c>
      <c r="J26" s="79" t="s">
        <v>140</v>
      </c>
      <c r="K26" s="87">
        <v>0.5</v>
      </c>
      <c r="L26" s="85" t="s">
        <v>605</v>
      </c>
      <c r="M26" s="79" t="s">
        <v>141</v>
      </c>
      <c r="N26" s="79" t="s">
        <v>142</v>
      </c>
      <c r="O26" s="78"/>
      <c r="P26" s="79" t="s">
        <v>592</v>
      </c>
      <c r="R26" s="7"/>
    </row>
    <row r="27" spans="1:18">
      <c r="A27" s="22" t="s">
        <v>389</v>
      </c>
      <c r="B27" s="79" t="s">
        <v>540</v>
      </c>
      <c r="C27" s="108" t="str">
        <f>IF(OR(tapasztaltharcos),"2x","1x")</f>
        <v>1x</v>
      </c>
      <c r="D27" s="86">
        <v>7</v>
      </c>
      <c r="E27" s="86">
        <v>12</v>
      </c>
      <c r="F27" s="86">
        <v>10</v>
      </c>
      <c r="G27" s="83" t="str">
        <f t="shared" si="0"/>
        <v>k6+1</v>
      </c>
      <c r="H27" s="104">
        <v>5</v>
      </c>
      <c r="I27" s="82" t="s">
        <v>558</v>
      </c>
      <c r="J27" s="79" t="s">
        <v>140</v>
      </c>
      <c r="K27" s="87">
        <v>1</v>
      </c>
      <c r="L27" s="85" t="s">
        <v>154</v>
      </c>
      <c r="M27" s="79" t="s">
        <v>142</v>
      </c>
      <c r="N27" s="79" t="s">
        <v>149</v>
      </c>
      <c r="O27" s="78" t="s">
        <v>155</v>
      </c>
      <c r="P27" s="79" t="s">
        <v>570</v>
      </c>
      <c r="R27" s="7"/>
    </row>
    <row r="28" spans="1:18">
      <c r="A28" s="22" t="s">
        <v>470</v>
      </c>
      <c r="B28" s="79" t="s">
        <v>539</v>
      </c>
      <c r="C28" s="108" t="str">
        <f>IF(OR(tapasztaltharcos),"2x","1x")</f>
        <v>1x</v>
      </c>
      <c r="D28" s="86">
        <v>4</v>
      </c>
      <c r="E28" s="86">
        <v>10</v>
      </c>
      <c r="F28" s="86">
        <v>16</v>
      </c>
      <c r="G28" s="83" t="str">
        <f t="shared" si="0"/>
        <v>k5</v>
      </c>
      <c r="H28" s="104">
        <v>5</v>
      </c>
      <c r="I28" s="82" t="s">
        <v>581</v>
      </c>
      <c r="J28" s="79" t="s">
        <v>152</v>
      </c>
      <c r="K28" s="87">
        <v>1.2</v>
      </c>
      <c r="L28" s="85" t="s">
        <v>183</v>
      </c>
      <c r="M28" s="79" t="s">
        <v>142</v>
      </c>
      <c r="N28" s="79" t="s">
        <v>149</v>
      </c>
      <c r="O28" s="78" t="s">
        <v>184</v>
      </c>
      <c r="P28" s="79" t="s">
        <v>570</v>
      </c>
      <c r="R28" s="7"/>
    </row>
    <row r="29" spans="1:18" s="148" customFormat="1">
      <c r="A29" s="191" t="s">
        <v>1095</v>
      </c>
      <c r="B29" s="189" t="s">
        <v>539</v>
      </c>
      <c r="C29" s="115" t="str">
        <f>IF(OR(tapasztaltharcos),"2x","1x")</f>
        <v>1x</v>
      </c>
      <c r="D29" s="88">
        <v>4</v>
      </c>
      <c r="E29" s="88">
        <v>10</v>
      </c>
      <c r="F29" s="88">
        <v>16</v>
      </c>
      <c r="G29" s="103" t="str">
        <f t="shared" si="0"/>
        <v>2k6</v>
      </c>
      <c r="H29" s="104">
        <v>5</v>
      </c>
      <c r="I29" s="89" t="s">
        <v>584</v>
      </c>
      <c r="J29" s="189" t="s">
        <v>152</v>
      </c>
      <c r="K29" s="189" t="s">
        <v>149</v>
      </c>
      <c r="L29" s="190" t="s">
        <v>149</v>
      </c>
      <c r="M29" s="189" t="s">
        <v>142</v>
      </c>
      <c r="N29" s="189" t="s">
        <v>149</v>
      </c>
      <c r="O29" s="78"/>
      <c r="P29" s="79"/>
    </row>
    <row r="30" spans="1:18" s="7" customFormat="1">
      <c r="A30" s="22" t="s">
        <v>776</v>
      </c>
      <c r="B30" s="79" t="s">
        <v>540</v>
      </c>
      <c r="C30" s="108" t="str">
        <f>IF(OR(AND(gyorsaság&gt;=16,ügyesség&gt;=16),tapasztaltharcos),"2x","1x")</f>
        <v>1x</v>
      </c>
      <c r="D30" s="86">
        <v>10</v>
      </c>
      <c r="E30" s="86">
        <v>8</v>
      </c>
      <c r="F30" s="86">
        <v>4</v>
      </c>
      <c r="G30" s="83" t="str">
        <f t="shared" si="0"/>
        <v>k6</v>
      </c>
      <c r="H30" s="104">
        <v>5</v>
      </c>
      <c r="I30" s="82" t="s">
        <v>575</v>
      </c>
      <c r="J30" s="79" t="s">
        <v>140</v>
      </c>
      <c r="K30" s="87">
        <v>0.3</v>
      </c>
      <c r="L30" s="85" t="s">
        <v>546</v>
      </c>
      <c r="M30" s="79" t="s">
        <v>141</v>
      </c>
      <c r="N30" s="79" t="s">
        <v>142</v>
      </c>
      <c r="O30" s="78" t="s">
        <v>778</v>
      </c>
      <c r="P30" s="79" t="s">
        <v>777</v>
      </c>
    </row>
    <row r="31" spans="1:18" s="1" customFormat="1">
      <c r="A31" s="22" t="s">
        <v>390</v>
      </c>
      <c r="B31" s="79" t="s">
        <v>540</v>
      </c>
      <c r="C31" s="108" t="str">
        <f>IF(OR(tapasztaltharcos),"2x","1x")</f>
        <v>1x</v>
      </c>
      <c r="D31" s="86">
        <v>9</v>
      </c>
      <c r="E31" s="88">
        <v>20</v>
      </c>
      <c r="F31" s="88">
        <v>17</v>
      </c>
      <c r="G31" s="83" t="str">
        <f t="shared" si="0"/>
        <v>k6+3</v>
      </c>
      <c r="H31" s="104">
        <v>5</v>
      </c>
      <c r="I31" s="89" t="s">
        <v>582</v>
      </c>
      <c r="J31" s="79"/>
      <c r="K31" s="87">
        <v>0.5</v>
      </c>
      <c r="L31" s="85" t="s">
        <v>598</v>
      </c>
      <c r="M31" s="79" t="s">
        <v>141</v>
      </c>
      <c r="N31" s="79" t="s">
        <v>151</v>
      </c>
      <c r="O31" s="78"/>
      <c r="P31" s="79" t="s">
        <v>592</v>
      </c>
      <c r="R31" s="7"/>
    </row>
    <row r="32" spans="1:18">
      <c r="A32" s="22" t="s">
        <v>493</v>
      </c>
      <c r="B32" s="79" t="s">
        <v>534</v>
      </c>
      <c r="C32" s="108" t="str">
        <f>IF(OR(AND(gyorsaság&gt;=16,ügyesség&gt;=16),tapasztaltharcos),"2x","1x")</f>
        <v>1x</v>
      </c>
      <c r="D32" s="86">
        <v>10</v>
      </c>
      <c r="E32" s="86">
        <v>11</v>
      </c>
      <c r="F32" s="86">
        <v>15</v>
      </c>
      <c r="G32" s="83" t="str">
        <f t="shared" si="0"/>
        <v>k5</v>
      </c>
      <c r="H32" s="104">
        <v>5</v>
      </c>
      <c r="I32" s="82" t="s">
        <v>581</v>
      </c>
      <c r="J32" s="79" t="s">
        <v>140</v>
      </c>
      <c r="K32" s="87">
        <v>0.5</v>
      </c>
      <c r="L32" s="85" t="s">
        <v>204</v>
      </c>
      <c r="M32" s="79" t="s">
        <v>142</v>
      </c>
      <c r="N32" s="79" t="s">
        <v>149</v>
      </c>
      <c r="O32" s="78" t="s">
        <v>206</v>
      </c>
      <c r="P32" s="79" t="s">
        <v>590</v>
      </c>
      <c r="R32" s="7"/>
    </row>
    <row r="33" spans="1:18">
      <c r="A33" s="22" t="s">
        <v>391</v>
      </c>
      <c r="B33" s="79" t="s">
        <v>540</v>
      </c>
      <c r="C33" s="108" t="str">
        <f>IF(OR(tapasztaltharcos),"2x","1x")</f>
        <v>1x</v>
      </c>
      <c r="D33" s="86">
        <v>7</v>
      </c>
      <c r="E33" s="86">
        <v>15</v>
      </c>
      <c r="F33" s="86">
        <v>12</v>
      </c>
      <c r="G33" s="83" t="str">
        <f t="shared" si="0"/>
        <v>k10</v>
      </c>
      <c r="H33" s="104">
        <v>5</v>
      </c>
      <c r="I33" s="82" t="s">
        <v>559</v>
      </c>
      <c r="J33" s="79" t="s">
        <v>140</v>
      </c>
      <c r="K33" s="87">
        <v>1</v>
      </c>
      <c r="L33" s="85" t="s">
        <v>549</v>
      </c>
      <c r="M33" s="79" t="s">
        <v>141</v>
      </c>
      <c r="N33" s="79" t="s">
        <v>143</v>
      </c>
      <c r="O33" s="78"/>
      <c r="P33" s="79" t="s">
        <v>646</v>
      </c>
      <c r="R33" s="7"/>
    </row>
    <row r="34" spans="1:18">
      <c r="A34" s="22" t="s">
        <v>448</v>
      </c>
      <c r="B34" s="79" t="s">
        <v>539</v>
      </c>
      <c r="C34" s="108" t="str">
        <f>IF(OR(tapasztaltharcos),"2x","1x")</f>
        <v>1x</v>
      </c>
      <c r="D34" s="88">
        <v>7</v>
      </c>
      <c r="E34" s="88">
        <v>11</v>
      </c>
      <c r="F34" s="88">
        <v>12</v>
      </c>
      <c r="G34" s="83" t="str">
        <f t="shared" si="0"/>
        <v>k6</v>
      </c>
      <c r="H34" s="104">
        <v>5</v>
      </c>
      <c r="I34" s="82" t="s">
        <v>575</v>
      </c>
      <c r="J34" s="79" t="s">
        <v>152</v>
      </c>
      <c r="K34" s="87">
        <v>2</v>
      </c>
      <c r="L34" s="85" t="s">
        <v>224</v>
      </c>
      <c r="M34" s="79" t="s">
        <v>141</v>
      </c>
      <c r="N34" s="79" t="s">
        <v>149</v>
      </c>
      <c r="O34" s="78"/>
      <c r="P34" s="79" t="s">
        <v>592</v>
      </c>
      <c r="R34" s="7"/>
    </row>
    <row r="35" spans="1:18">
      <c r="A35" s="22" t="s">
        <v>449</v>
      </c>
      <c r="B35" s="79" t="s">
        <v>539</v>
      </c>
      <c r="C35" s="108" t="str">
        <f>IF(OR(tapasztaltharcos),"2x","1x")</f>
        <v>1x</v>
      </c>
      <c r="D35" s="86">
        <v>5</v>
      </c>
      <c r="E35" s="86">
        <v>12</v>
      </c>
      <c r="F35" s="86">
        <v>11</v>
      </c>
      <c r="G35" s="83" t="str">
        <f t="shared" si="0"/>
        <v>k10</v>
      </c>
      <c r="H35" s="104">
        <v>5</v>
      </c>
      <c r="I35" s="82" t="s">
        <v>559</v>
      </c>
      <c r="J35" s="79" t="s">
        <v>152</v>
      </c>
      <c r="K35" s="87">
        <v>2</v>
      </c>
      <c r="L35" s="85" t="s">
        <v>593</v>
      </c>
      <c r="M35" s="79" t="s">
        <v>141</v>
      </c>
      <c r="N35" s="79" t="s">
        <v>156</v>
      </c>
      <c r="O35" s="78"/>
      <c r="P35" s="79" t="s">
        <v>592</v>
      </c>
      <c r="R35" s="7"/>
    </row>
    <row r="36" spans="1:18" s="148" customFormat="1">
      <c r="A36" s="22" t="s">
        <v>1254</v>
      </c>
      <c r="B36" s="79" t="s">
        <v>539</v>
      </c>
      <c r="C36" s="108" t="str">
        <f>IF(OR(tapasztaltharcos),"2x","1x")</f>
        <v>1x</v>
      </c>
      <c r="D36" s="86">
        <v>12</v>
      </c>
      <c r="E36" s="86">
        <v>20</v>
      </c>
      <c r="F36" s="86">
        <v>18</v>
      </c>
      <c r="G36" s="83" t="str">
        <f t="shared" si="0"/>
        <v>k10+3</v>
      </c>
      <c r="H36" s="104">
        <v>5</v>
      </c>
      <c r="I36" s="82" t="s">
        <v>1256</v>
      </c>
      <c r="J36" s="79" t="s">
        <v>152</v>
      </c>
      <c r="K36" s="87">
        <v>4</v>
      </c>
      <c r="L36" s="85" t="s">
        <v>1257</v>
      </c>
      <c r="M36" s="79" t="s">
        <v>141</v>
      </c>
      <c r="N36" s="79" t="s">
        <v>156</v>
      </c>
      <c r="O36" s="78"/>
      <c r="P36" s="79" t="s">
        <v>1258</v>
      </c>
      <c r="Q36" s="79"/>
    </row>
    <row r="37" spans="1:18">
      <c r="A37" s="22" t="s">
        <v>641</v>
      </c>
      <c r="B37" s="79" t="s">
        <v>540</v>
      </c>
      <c r="C37" s="108" t="str">
        <f>IF(OR(tapasztaltharcos),"2x","1x")</f>
        <v>1x</v>
      </c>
      <c r="D37" s="86">
        <v>7</v>
      </c>
      <c r="E37" s="86">
        <v>15</v>
      </c>
      <c r="F37" s="86">
        <v>14</v>
      </c>
      <c r="G37" s="83" t="str">
        <f t="shared" si="0"/>
        <v>k6+1</v>
      </c>
      <c r="H37" s="104">
        <v>5</v>
      </c>
      <c r="I37" s="82" t="s">
        <v>558</v>
      </c>
      <c r="J37" s="79" t="s">
        <v>140</v>
      </c>
      <c r="K37" s="87">
        <v>1.4</v>
      </c>
      <c r="L37" s="85" t="s">
        <v>157</v>
      </c>
      <c r="M37" s="79" t="s">
        <v>141</v>
      </c>
      <c r="N37" s="79" t="s">
        <v>158</v>
      </c>
      <c r="O37" s="78"/>
      <c r="P37" s="79" t="s">
        <v>639</v>
      </c>
      <c r="R37" s="7"/>
    </row>
    <row r="38" spans="1:18">
      <c r="A38" s="22" t="s">
        <v>513</v>
      </c>
      <c r="B38" s="79" t="s">
        <v>535</v>
      </c>
      <c r="C38" s="108" t="str">
        <f>IF(AND(gyorsaság&gt;=14,ügyesség&gt;=14),"2x","1x")</f>
        <v>1x</v>
      </c>
      <c r="D38" s="88">
        <v>6</v>
      </c>
      <c r="E38" s="88">
        <v>10</v>
      </c>
      <c r="F38" s="88">
        <v>120</v>
      </c>
      <c r="G38" s="83" t="str">
        <f t="shared" si="0"/>
        <v>k6</v>
      </c>
      <c r="H38" s="104">
        <v>5</v>
      </c>
      <c r="I38" s="83" t="str">
        <f>IF(választott_faj=elf,"2k6","k6")</f>
        <v>k6</v>
      </c>
      <c r="J38" s="79"/>
      <c r="K38" s="87">
        <v>0.7</v>
      </c>
      <c r="L38" s="85" t="s">
        <v>598</v>
      </c>
      <c r="M38" s="79" t="s">
        <v>142</v>
      </c>
      <c r="N38" s="79" t="s">
        <v>141</v>
      </c>
      <c r="O38" s="78"/>
      <c r="P38" s="79" t="s">
        <v>615</v>
      </c>
      <c r="R38" s="7"/>
    </row>
    <row r="39" spans="1:18" s="148" customFormat="1">
      <c r="A39" s="191" t="s">
        <v>1177</v>
      </c>
      <c r="B39" s="189" t="s">
        <v>540</v>
      </c>
      <c r="C39" s="115" t="str">
        <f>IF(OR(tapasztaltharcos),"2x","1x")</f>
        <v>1x</v>
      </c>
      <c r="D39" s="88">
        <v>7</v>
      </c>
      <c r="E39" s="88">
        <v>17</v>
      </c>
      <c r="F39" s="88">
        <v>13</v>
      </c>
      <c r="G39" s="103" t="str">
        <f t="shared" si="0"/>
        <v>k6+2</v>
      </c>
      <c r="H39" s="104">
        <v>5</v>
      </c>
      <c r="I39" s="89" t="s">
        <v>557</v>
      </c>
      <c r="J39" s="189" t="s">
        <v>140</v>
      </c>
      <c r="K39" s="201">
        <v>1</v>
      </c>
      <c r="L39" s="195" t="s">
        <v>149</v>
      </c>
      <c r="M39" s="203" t="s">
        <v>149</v>
      </c>
      <c r="N39" s="203" t="s">
        <v>149</v>
      </c>
      <c r="O39" s="78" t="s">
        <v>1176</v>
      </c>
      <c r="P39" s="79" t="s">
        <v>592</v>
      </c>
    </row>
    <row r="40" spans="1:18">
      <c r="A40" s="22" t="s">
        <v>392</v>
      </c>
      <c r="B40" s="79" t="s">
        <v>540</v>
      </c>
      <c r="C40" s="108" t="str">
        <f>IF(OR(tapasztaltharcos),"2x","1x")</f>
        <v>1x</v>
      </c>
      <c r="D40" s="86">
        <v>8</v>
      </c>
      <c r="E40" s="86">
        <v>16</v>
      </c>
      <c r="F40" s="86">
        <v>16</v>
      </c>
      <c r="G40" s="83" t="str">
        <f t="shared" si="0"/>
        <v>k6+2</v>
      </c>
      <c r="H40" s="104">
        <v>5</v>
      </c>
      <c r="I40" s="82" t="s">
        <v>557</v>
      </c>
      <c r="J40" s="79" t="s">
        <v>140</v>
      </c>
      <c r="K40" s="87">
        <v>0.8</v>
      </c>
      <c r="L40" s="85" t="s">
        <v>548</v>
      </c>
      <c r="M40" s="79" t="s">
        <v>141</v>
      </c>
      <c r="N40" s="79" t="s">
        <v>159</v>
      </c>
      <c r="O40" s="78"/>
      <c r="P40" s="79" t="s">
        <v>592</v>
      </c>
      <c r="R40" s="7"/>
    </row>
    <row r="41" spans="1:18">
      <c r="A41" s="22" t="s">
        <v>514</v>
      </c>
      <c r="B41" s="79" t="s">
        <v>535</v>
      </c>
      <c r="C41" s="108" t="str">
        <f>IF(AND(gyorsaság&gt;=14,ügyesség&gt;=14),"2x","1x")</f>
        <v>1x</v>
      </c>
      <c r="D41" s="86">
        <v>4</v>
      </c>
      <c r="E41" s="86">
        <v>5</v>
      </c>
      <c r="F41" s="86">
        <v>110</v>
      </c>
      <c r="G41" s="83" t="str">
        <f t="shared" si="0"/>
        <v>k6+1</v>
      </c>
      <c r="H41" s="104">
        <v>5</v>
      </c>
      <c r="I41" s="82" t="s">
        <v>558</v>
      </c>
      <c r="J41" s="189"/>
      <c r="K41" s="87">
        <v>0.7</v>
      </c>
      <c r="L41" s="85" t="s">
        <v>150</v>
      </c>
      <c r="M41" s="79" t="s">
        <v>142</v>
      </c>
      <c r="N41" s="79" t="s">
        <v>141</v>
      </c>
      <c r="O41" s="78" t="s">
        <v>217</v>
      </c>
      <c r="P41" s="79" t="s">
        <v>580</v>
      </c>
      <c r="R41" s="7"/>
    </row>
    <row r="42" spans="1:18">
      <c r="A42" s="22" t="s">
        <v>393</v>
      </c>
      <c r="B42" s="79" t="s">
        <v>540</v>
      </c>
      <c r="C42" s="108" t="str">
        <f>IF(OR(AND(gyorsaság&gt;=16,ügyesség&gt;=16),tapasztaltharcos),"2x","1x")</f>
        <v>1x</v>
      </c>
      <c r="D42" s="86">
        <v>8</v>
      </c>
      <c r="E42" s="86">
        <v>3</v>
      </c>
      <c r="F42" s="86">
        <v>21</v>
      </c>
      <c r="G42" s="83" t="str">
        <f t="shared" si="0"/>
        <v>k6</v>
      </c>
      <c r="H42" s="104">
        <v>5</v>
      </c>
      <c r="I42" s="82" t="s">
        <v>575</v>
      </c>
      <c r="J42" s="79" t="s">
        <v>140</v>
      </c>
      <c r="K42" s="87">
        <v>0.3</v>
      </c>
      <c r="L42" s="85" t="s">
        <v>547</v>
      </c>
      <c r="M42" s="79" t="s">
        <v>141</v>
      </c>
      <c r="N42" s="79" t="s">
        <v>142</v>
      </c>
      <c r="O42" s="78"/>
      <c r="P42" s="79" t="s">
        <v>674</v>
      </c>
      <c r="R42" s="7"/>
    </row>
    <row r="43" spans="1:18">
      <c r="A43" s="22" t="s">
        <v>450</v>
      </c>
      <c r="B43" s="79" t="s">
        <v>539</v>
      </c>
      <c r="C43" s="108" t="str">
        <f>IF(OR(tapasztaltharcos),"2x","1x")</f>
        <v>1x</v>
      </c>
      <c r="D43" s="86">
        <v>2</v>
      </c>
      <c r="E43" s="86">
        <v>7</v>
      </c>
      <c r="F43" s="86">
        <v>14</v>
      </c>
      <c r="G43" s="83" t="str">
        <f t="shared" ref="G43:G78" si="1">$I43&amp;IF($J43="","",IF(erő&lt;=VALUE(MID($J43,2,2)),"","+"&amp;TEXT(erő-VALUE(MID($J43,2,2)),"0")))</f>
        <v>k6</v>
      </c>
      <c r="H43" s="104">
        <v>5</v>
      </c>
      <c r="I43" s="82" t="s">
        <v>575</v>
      </c>
      <c r="J43" s="79" t="s">
        <v>152</v>
      </c>
      <c r="K43" s="87">
        <v>1.3</v>
      </c>
      <c r="L43" s="85" t="s">
        <v>149</v>
      </c>
      <c r="M43" s="79" t="s">
        <v>141</v>
      </c>
      <c r="N43" s="79" t="s">
        <v>149</v>
      </c>
      <c r="O43" s="78"/>
      <c r="P43" s="79" t="s">
        <v>592</v>
      </c>
      <c r="R43" s="7"/>
    </row>
    <row r="44" spans="1:18">
      <c r="A44" s="22" t="s">
        <v>515</v>
      </c>
      <c r="B44" s="79" t="s">
        <v>535</v>
      </c>
      <c r="C44" s="108" t="str">
        <f>IF(AND(gyorsaság&gt;=14,ügyesség&gt;=14),"3x","1x")</f>
        <v>1x</v>
      </c>
      <c r="D44" s="86">
        <v>8</v>
      </c>
      <c r="E44" s="86">
        <v>7</v>
      </c>
      <c r="F44" s="86">
        <v>30</v>
      </c>
      <c r="G44" s="83" t="str">
        <f t="shared" si="1"/>
        <v>k6</v>
      </c>
      <c r="H44" s="104">
        <v>5</v>
      </c>
      <c r="I44" s="80" t="s">
        <v>575</v>
      </c>
      <c r="J44" s="81" t="s">
        <v>140</v>
      </c>
      <c r="K44" s="91">
        <v>0.2</v>
      </c>
      <c r="L44" s="92" t="s">
        <v>154</v>
      </c>
      <c r="M44" s="79" t="s">
        <v>142</v>
      </c>
      <c r="N44" s="79" t="s">
        <v>141</v>
      </c>
      <c r="O44" s="78" t="s">
        <v>218</v>
      </c>
      <c r="P44" s="79" t="s">
        <v>580</v>
      </c>
      <c r="R44" s="7"/>
    </row>
    <row r="45" spans="1:18">
      <c r="A45" s="22" t="s">
        <v>516</v>
      </c>
      <c r="B45" s="79" t="s">
        <v>535</v>
      </c>
      <c r="C45" s="108" t="str">
        <f>IF(AND(gyorsaság&gt;=14,ügyesség&gt;=14),"3x","1x")</f>
        <v>1x</v>
      </c>
      <c r="D45" s="86">
        <v>8</v>
      </c>
      <c r="E45" s="88">
        <v>7</v>
      </c>
      <c r="F45" s="86">
        <v>30</v>
      </c>
      <c r="G45" s="83" t="str">
        <f t="shared" si="1"/>
        <v>tű</v>
      </c>
      <c r="H45" s="104">
        <v>5</v>
      </c>
      <c r="I45" s="82" t="s">
        <v>215</v>
      </c>
      <c r="J45" s="79"/>
      <c r="K45" s="87">
        <v>0.2</v>
      </c>
      <c r="L45" s="85" t="s">
        <v>593</v>
      </c>
      <c r="M45" s="79" t="s">
        <v>142</v>
      </c>
      <c r="N45" s="79" t="s">
        <v>141</v>
      </c>
      <c r="O45" s="78"/>
      <c r="P45" s="79" t="s">
        <v>615</v>
      </c>
      <c r="R45" s="7"/>
    </row>
    <row r="46" spans="1:18">
      <c r="A46" s="22" t="s">
        <v>494</v>
      </c>
      <c r="B46" s="79" t="s">
        <v>534</v>
      </c>
      <c r="C46" s="108" t="str">
        <f>IF(OR(tapasztaltharcos),"2x","1x")</f>
        <v>1x</v>
      </c>
      <c r="D46" s="86">
        <v>0</v>
      </c>
      <c r="E46" s="86">
        <v>5</v>
      </c>
      <c r="F46" s="86">
        <v>-20</v>
      </c>
      <c r="G46" s="83" t="str">
        <f t="shared" si="1"/>
        <v>k10</v>
      </c>
      <c r="H46" s="104">
        <v>5</v>
      </c>
      <c r="I46" s="82" t="s">
        <v>559</v>
      </c>
      <c r="J46" s="79" t="s">
        <v>140</v>
      </c>
      <c r="K46" s="87">
        <v>0.1</v>
      </c>
      <c r="L46" s="85" t="s">
        <v>223</v>
      </c>
      <c r="M46" s="79" t="s">
        <v>142</v>
      </c>
      <c r="N46" s="79" t="s">
        <v>149</v>
      </c>
      <c r="O46" s="78"/>
      <c r="P46" s="79" t="s">
        <v>615</v>
      </c>
      <c r="R46" s="7"/>
    </row>
    <row r="47" spans="1:18">
      <c r="A47" s="22" t="s">
        <v>477</v>
      </c>
      <c r="B47" s="79" t="s">
        <v>538</v>
      </c>
      <c r="C47" s="108" t="str">
        <f>IF(OR(tapasztaltharcos),"2x","1x")</f>
        <v>1x</v>
      </c>
      <c r="D47" s="86">
        <v>4</v>
      </c>
      <c r="E47" s="86">
        <v>11</v>
      </c>
      <c r="F47" s="86">
        <v>15</v>
      </c>
      <c r="G47" s="83" t="str">
        <f t="shared" si="1"/>
        <v>k6+1</v>
      </c>
      <c r="H47" s="104">
        <v>5</v>
      </c>
      <c r="I47" s="82" t="s">
        <v>558</v>
      </c>
      <c r="J47" s="79" t="s">
        <v>140</v>
      </c>
      <c r="K47" s="87">
        <v>4</v>
      </c>
      <c r="L47" s="85" t="s">
        <v>548</v>
      </c>
      <c r="M47" s="79" t="s">
        <v>142</v>
      </c>
      <c r="N47" s="79" t="s">
        <v>143</v>
      </c>
      <c r="O47" s="78" t="s">
        <v>192</v>
      </c>
      <c r="P47" s="79" t="s">
        <v>677</v>
      </c>
      <c r="R47" s="7"/>
    </row>
    <row r="48" spans="1:18">
      <c r="A48" s="22" t="s">
        <v>517</v>
      </c>
      <c r="B48" s="79" t="s">
        <v>535</v>
      </c>
      <c r="C48" s="108" t="str">
        <f>IF(AND(gyorsaság&gt;=14,ügyesség&gt;=14),"2x","1x")</f>
        <v>1x</v>
      </c>
      <c r="D48" s="86">
        <v>5</v>
      </c>
      <c r="E48" s="86">
        <v>6</v>
      </c>
      <c r="F48" s="86">
        <v>60</v>
      </c>
      <c r="G48" s="83" t="str">
        <f t="shared" si="1"/>
        <v>k5</v>
      </c>
      <c r="H48" s="104">
        <v>5</v>
      </c>
      <c r="I48" s="82" t="s">
        <v>581</v>
      </c>
      <c r="J48" s="189"/>
      <c r="K48" s="87">
        <v>0.5</v>
      </c>
      <c r="L48" s="85" t="s">
        <v>546</v>
      </c>
      <c r="M48" s="79" t="s">
        <v>142</v>
      </c>
      <c r="N48" s="79" t="s">
        <v>141</v>
      </c>
      <c r="O48" s="78"/>
      <c r="P48" s="79" t="s">
        <v>673</v>
      </c>
      <c r="R48" s="7"/>
    </row>
    <row r="49" spans="1:18">
      <c r="A49" s="22" t="s">
        <v>451</v>
      </c>
      <c r="B49" s="79" t="s">
        <v>539</v>
      </c>
      <c r="C49" s="108" t="str">
        <f>IF(OR(tapasztaltharcos),"2x","1x")</f>
        <v>1x</v>
      </c>
      <c r="D49" s="86">
        <v>8</v>
      </c>
      <c r="E49" s="86">
        <v>11</v>
      </c>
      <c r="F49" s="86">
        <v>12</v>
      </c>
      <c r="G49" s="83" t="str">
        <f t="shared" si="1"/>
        <v>k6</v>
      </c>
      <c r="H49" s="104">
        <v>5</v>
      </c>
      <c r="I49" s="82" t="s">
        <v>575</v>
      </c>
      <c r="J49" s="79" t="s">
        <v>152</v>
      </c>
      <c r="K49" s="87">
        <v>2</v>
      </c>
      <c r="L49" s="85" t="s">
        <v>157</v>
      </c>
      <c r="M49" s="79" t="s">
        <v>141</v>
      </c>
      <c r="N49" s="79" t="s">
        <v>149</v>
      </c>
      <c r="O49" s="78"/>
      <c r="P49" s="79" t="s">
        <v>643</v>
      </c>
      <c r="R49" s="7"/>
    </row>
    <row r="50" spans="1:18">
      <c r="A50" s="22" t="s">
        <v>495</v>
      </c>
      <c r="B50" s="79" t="s">
        <v>534</v>
      </c>
      <c r="C50" s="108" t="str">
        <f>IF(OR(AND(gyorsaság&gt;=16,ügyesség&gt;=16),tapasztaltharcos),"2x","1x")</f>
        <v>1x</v>
      </c>
      <c r="D50" s="86">
        <v>8</v>
      </c>
      <c r="E50" s="86">
        <v>17</v>
      </c>
      <c r="F50" s="86">
        <v>5</v>
      </c>
      <c r="G50" s="83" t="str">
        <f t="shared" si="1"/>
        <v>k5</v>
      </c>
      <c r="H50" s="104">
        <v>5</v>
      </c>
      <c r="I50" s="82" t="s">
        <v>581</v>
      </c>
      <c r="J50" s="81" t="s">
        <v>140</v>
      </c>
      <c r="K50" s="91">
        <v>0.5</v>
      </c>
      <c r="L50" s="92" t="s">
        <v>154</v>
      </c>
      <c r="M50" s="79" t="s">
        <v>142</v>
      </c>
      <c r="N50" s="79" t="s">
        <v>142</v>
      </c>
      <c r="O50" s="78" t="s">
        <v>207</v>
      </c>
      <c r="P50" s="79" t="s">
        <v>580</v>
      </c>
      <c r="R50" s="7"/>
    </row>
    <row r="51" spans="1:18">
      <c r="A51" s="22" t="s">
        <v>438</v>
      </c>
      <c r="B51" s="79" t="s">
        <v>536</v>
      </c>
      <c r="C51" s="108" t="str">
        <f>IF(AND(gyorsaság&gt;=14,ügyesség&gt;=14),"2x","1x")</f>
        <v>1x</v>
      </c>
      <c r="D51" s="86">
        <v>9</v>
      </c>
      <c r="E51" s="86">
        <v>10</v>
      </c>
      <c r="F51" s="86">
        <v>4</v>
      </c>
      <c r="G51" s="83" t="str">
        <f t="shared" si="1"/>
        <v>k6</v>
      </c>
      <c r="H51" s="104">
        <v>5</v>
      </c>
      <c r="I51" s="82" t="s">
        <v>575</v>
      </c>
      <c r="J51" s="79" t="s">
        <v>152</v>
      </c>
      <c r="K51" s="87">
        <v>1.2</v>
      </c>
      <c r="L51" s="85" t="s">
        <v>223</v>
      </c>
      <c r="M51" s="79" t="s">
        <v>141</v>
      </c>
      <c r="N51" s="79" t="s">
        <v>156</v>
      </c>
      <c r="O51" s="78"/>
      <c r="P51" s="79" t="s">
        <v>592</v>
      </c>
      <c r="R51" s="7"/>
    </row>
    <row r="52" spans="1:18">
      <c r="A52" s="22" t="s">
        <v>439</v>
      </c>
      <c r="B52" s="79" t="s">
        <v>536</v>
      </c>
      <c r="C52" s="109" t="str">
        <f>"1x"</f>
        <v>1x</v>
      </c>
      <c r="D52" s="86">
        <v>8</v>
      </c>
      <c r="E52" s="86">
        <v>13</v>
      </c>
      <c r="F52" s="86">
        <v>5</v>
      </c>
      <c r="G52" s="83" t="str">
        <f t="shared" si="1"/>
        <v>k6+1</v>
      </c>
      <c r="H52" s="104">
        <v>5</v>
      </c>
      <c r="I52" s="82" t="s">
        <v>558</v>
      </c>
      <c r="J52" s="79" t="s">
        <v>140</v>
      </c>
      <c r="K52" s="87">
        <v>1.5</v>
      </c>
      <c r="L52" s="85" t="s">
        <v>148</v>
      </c>
      <c r="M52" s="79" t="s">
        <v>141</v>
      </c>
      <c r="N52" s="79" t="s">
        <v>174</v>
      </c>
      <c r="O52" s="78"/>
      <c r="P52" s="79" t="s">
        <v>615</v>
      </c>
      <c r="R52" s="7"/>
    </row>
    <row r="53" spans="1:18">
      <c r="A53" s="22" t="s">
        <v>472</v>
      </c>
      <c r="B53" s="79" t="s">
        <v>539</v>
      </c>
      <c r="C53" s="108" t="str">
        <f>IF(OR(tapasztaltharcos),"2x","1x")</f>
        <v>1x</v>
      </c>
      <c r="D53" s="86">
        <v>9</v>
      </c>
      <c r="E53" s="86">
        <v>9</v>
      </c>
      <c r="F53" s="86">
        <v>17</v>
      </c>
      <c r="G53" s="83" t="str">
        <f t="shared" si="1"/>
        <v>k3</v>
      </c>
      <c r="H53" s="104">
        <v>5</v>
      </c>
      <c r="I53" s="82" t="s">
        <v>576</v>
      </c>
      <c r="J53" s="81" t="s">
        <v>152</v>
      </c>
      <c r="K53" s="91">
        <v>0.7</v>
      </c>
      <c r="L53" s="92" t="s">
        <v>185</v>
      </c>
      <c r="M53" s="79" t="s">
        <v>141</v>
      </c>
      <c r="N53" s="79" t="s">
        <v>149</v>
      </c>
      <c r="O53" s="78" t="s">
        <v>187</v>
      </c>
      <c r="P53" s="79" t="s">
        <v>580</v>
      </c>
      <c r="R53" s="7"/>
    </row>
    <row r="54" spans="1:18">
      <c r="A54" s="22" t="s">
        <v>394</v>
      </c>
      <c r="B54" s="79" t="s">
        <v>540</v>
      </c>
      <c r="C54" s="108" t="str">
        <f>IF(OR(tapasztaltharcos),"2x","1x")</f>
        <v>1x</v>
      </c>
      <c r="D54" s="86">
        <v>6</v>
      </c>
      <c r="E54" s="86">
        <v>14</v>
      </c>
      <c r="F54" s="86">
        <v>15</v>
      </c>
      <c r="G54" s="83" t="str">
        <f t="shared" si="1"/>
        <v>k6+3</v>
      </c>
      <c r="H54" s="104">
        <v>5</v>
      </c>
      <c r="I54" s="82" t="s">
        <v>582</v>
      </c>
      <c r="J54" s="79" t="s">
        <v>152</v>
      </c>
      <c r="K54" s="87">
        <v>2</v>
      </c>
      <c r="L54" s="85" t="s">
        <v>594</v>
      </c>
      <c r="M54" s="79" t="s">
        <v>141</v>
      </c>
      <c r="N54" s="79" t="s">
        <v>151</v>
      </c>
      <c r="O54" s="78" t="s">
        <v>554</v>
      </c>
      <c r="P54" s="79" t="s">
        <v>592</v>
      </c>
      <c r="R54" s="7"/>
    </row>
    <row r="55" spans="1:18">
      <c r="A55" s="22" t="s">
        <v>452</v>
      </c>
      <c r="B55" s="79" t="s">
        <v>539</v>
      </c>
      <c r="C55" s="108" t="str">
        <f>IF(OR(tapasztaltharcos),"2x","1x")</f>
        <v>1x</v>
      </c>
      <c r="D55" s="86">
        <v>8</v>
      </c>
      <c r="E55" s="86">
        <v>10</v>
      </c>
      <c r="F55" s="86">
        <v>8</v>
      </c>
      <c r="G55" s="83" t="str">
        <f t="shared" si="1"/>
        <v>k6+2</v>
      </c>
      <c r="H55" s="104">
        <v>5</v>
      </c>
      <c r="I55" s="82" t="s">
        <v>557</v>
      </c>
      <c r="J55" s="79" t="s">
        <v>152</v>
      </c>
      <c r="K55" s="87">
        <v>3</v>
      </c>
      <c r="L55" s="85" t="s">
        <v>224</v>
      </c>
      <c r="M55" s="79" t="s">
        <v>163</v>
      </c>
      <c r="N55" s="79" t="s">
        <v>149</v>
      </c>
      <c r="O55" s="78"/>
      <c r="P55" s="79" t="s">
        <v>592</v>
      </c>
      <c r="R55" s="7"/>
    </row>
    <row r="56" spans="1:18">
      <c r="A56" s="22" t="s">
        <v>611</v>
      </c>
      <c r="B56" s="79" t="s">
        <v>539</v>
      </c>
      <c r="C56" s="108" t="str">
        <f>IF(OR(tapasztaltharcos),"1x","1/2x")</f>
        <v>1/2x</v>
      </c>
      <c r="D56" s="86">
        <v>3</v>
      </c>
      <c r="E56" s="86">
        <v>7</v>
      </c>
      <c r="F56" s="86">
        <v>6</v>
      </c>
      <c r="G56" s="83" t="str">
        <f t="shared" si="1"/>
        <v>3k6-2</v>
      </c>
      <c r="H56" s="104">
        <v>5</v>
      </c>
      <c r="I56" s="82" t="s">
        <v>583</v>
      </c>
      <c r="J56" s="79" t="s">
        <v>152</v>
      </c>
      <c r="K56" s="87">
        <v>4</v>
      </c>
      <c r="L56" s="85" t="s">
        <v>571</v>
      </c>
      <c r="M56" s="79" t="s">
        <v>163</v>
      </c>
      <c r="N56" s="79" t="s">
        <v>149</v>
      </c>
      <c r="O56" s="78"/>
      <c r="P56" s="79" t="s">
        <v>580</v>
      </c>
      <c r="R56" s="7"/>
    </row>
    <row r="57" spans="1:18">
      <c r="A57" s="22" t="s">
        <v>395</v>
      </c>
      <c r="B57" s="79" t="s">
        <v>540</v>
      </c>
      <c r="C57" s="108" t="str">
        <f>IF(OR(AND(gyorsaság&gt;=16,ügyesség&gt;=16),tapasztaltharcos),"2x","1x")</f>
        <v>1x</v>
      </c>
      <c r="D57" s="86">
        <v>8</v>
      </c>
      <c r="E57" s="86">
        <v>4</v>
      </c>
      <c r="F57" s="86">
        <v>19</v>
      </c>
      <c r="G57" s="83" t="str">
        <f t="shared" si="1"/>
        <v>k6</v>
      </c>
      <c r="H57" s="104">
        <v>5</v>
      </c>
      <c r="I57" s="82" t="s">
        <v>575</v>
      </c>
      <c r="J57" s="79" t="s">
        <v>140</v>
      </c>
      <c r="K57" s="87">
        <v>0.3</v>
      </c>
      <c r="L57" s="85" t="s">
        <v>550</v>
      </c>
      <c r="M57" s="79" t="s">
        <v>141</v>
      </c>
      <c r="N57" s="79" t="s">
        <v>156</v>
      </c>
      <c r="O57" s="78"/>
      <c r="P57" s="79" t="s">
        <v>615</v>
      </c>
      <c r="R57" s="7"/>
    </row>
    <row r="58" spans="1:18">
      <c r="A58" s="22" t="s">
        <v>396</v>
      </c>
      <c r="B58" s="79" t="s">
        <v>540</v>
      </c>
      <c r="C58" s="108" t="str">
        <f>IF(OR(AND(gyorsaság&gt;=16,ügyesség&gt;=16),tapasztaltharcos),"2x","1x")</f>
        <v>1x</v>
      </c>
      <c r="D58" s="86">
        <v>8</v>
      </c>
      <c r="E58" s="86">
        <v>3</v>
      </c>
      <c r="F58" s="86">
        <v>20</v>
      </c>
      <c r="G58" s="83" t="str">
        <f t="shared" si="1"/>
        <v>k6-1</v>
      </c>
      <c r="H58" s="104">
        <v>5</v>
      </c>
      <c r="I58" s="82" t="s">
        <v>589</v>
      </c>
      <c r="J58" s="79" t="s">
        <v>140</v>
      </c>
      <c r="K58" s="87">
        <v>0.3</v>
      </c>
      <c r="L58" s="85" t="s">
        <v>153</v>
      </c>
      <c r="M58" s="79" t="s">
        <v>141</v>
      </c>
      <c r="N58" s="79" t="s">
        <v>159</v>
      </c>
      <c r="O58" s="78"/>
      <c r="P58" s="79" t="s">
        <v>674</v>
      </c>
      <c r="R58" s="7"/>
    </row>
    <row r="59" spans="1:18">
      <c r="A59" s="22" t="s">
        <v>496</v>
      </c>
      <c r="B59" s="79" t="s">
        <v>534</v>
      </c>
      <c r="C59" s="108" t="str">
        <f>IF(OR(tapasztaltharcos),"2x","1x")</f>
        <v>1x</v>
      </c>
      <c r="D59" s="86">
        <v>3</v>
      </c>
      <c r="E59" s="86">
        <v>19</v>
      </c>
      <c r="F59" s="86">
        <v>16</v>
      </c>
      <c r="G59" s="83" t="str">
        <f t="shared" si="1"/>
        <v>k6+3</v>
      </c>
      <c r="H59" s="104">
        <v>5</v>
      </c>
      <c r="I59" s="82" t="s">
        <v>582</v>
      </c>
      <c r="J59" s="81" t="s">
        <v>140</v>
      </c>
      <c r="K59" s="91">
        <v>1.4</v>
      </c>
      <c r="L59" s="92" t="s">
        <v>183</v>
      </c>
      <c r="M59" s="79" t="s">
        <v>142</v>
      </c>
      <c r="N59" s="79" t="s">
        <v>149</v>
      </c>
      <c r="O59" s="78" t="s">
        <v>208</v>
      </c>
      <c r="P59" s="79" t="s">
        <v>580</v>
      </c>
      <c r="R59" s="7"/>
    </row>
    <row r="60" spans="1:18">
      <c r="A60" s="22" t="s">
        <v>397</v>
      </c>
      <c r="B60" s="79" t="s">
        <v>540</v>
      </c>
      <c r="C60" s="108" t="str">
        <f>IF(OR(tapasztaltharcos),"2x","1x")</f>
        <v>1x</v>
      </c>
      <c r="D60" s="86">
        <v>8</v>
      </c>
      <c r="E60" s="86">
        <v>12</v>
      </c>
      <c r="F60" s="86">
        <v>10</v>
      </c>
      <c r="G60" s="83" t="str">
        <f t="shared" si="1"/>
        <v>k6+2</v>
      </c>
      <c r="H60" s="104">
        <v>5</v>
      </c>
      <c r="I60" s="82" t="s">
        <v>557</v>
      </c>
      <c r="J60" s="79" t="s">
        <v>140</v>
      </c>
      <c r="K60" s="87">
        <v>1.3</v>
      </c>
      <c r="L60" s="85" t="s">
        <v>596</v>
      </c>
      <c r="M60" s="79" t="s">
        <v>141</v>
      </c>
      <c r="N60" s="79" t="s">
        <v>141</v>
      </c>
      <c r="O60" s="78"/>
      <c r="P60" s="79" t="s">
        <v>674</v>
      </c>
      <c r="R60" s="7"/>
    </row>
    <row r="61" spans="1:18">
      <c r="A61" s="22" t="s">
        <v>398</v>
      </c>
      <c r="B61" s="79" t="s">
        <v>540</v>
      </c>
      <c r="C61" s="108" t="str">
        <f>IF(OR(tapasztaltharcos),"2x","1x")</f>
        <v>1x</v>
      </c>
      <c r="D61" s="86">
        <v>6</v>
      </c>
      <c r="E61" s="86">
        <v>14</v>
      </c>
      <c r="F61" s="86">
        <v>12</v>
      </c>
      <c r="G61" s="83" t="str">
        <f t="shared" si="1"/>
        <v>k6+4</v>
      </c>
      <c r="H61" s="104">
        <v>5</v>
      </c>
      <c r="I61" s="82" t="s">
        <v>675</v>
      </c>
      <c r="J61" s="79" t="s">
        <v>140</v>
      </c>
      <c r="K61" s="87">
        <v>1</v>
      </c>
      <c r="L61" s="85" t="s">
        <v>676</v>
      </c>
      <c r="M61" s="79" t="s">
        <v>141</v>
      </c>
      <c r="N61" s="79" t="s">
        <v>159</v>
      </c>
      <c r="O61" s="78" t="s">
        <v>161</v>
      </c>
      <c r="P61" s="79" t="s">
        <v>674</v>
      </c>
      <c r="R61" s="7"/>
    </row>
    <row r="62" spans="1:18">
      <c r="A62" s="22" t="s">
        <v>656</v>
      </c>
      <c r="B62" s="79" t="s">
        <v>540</v>
      </c>
      <c r="C62" s="108" t="str">
        <f>IF(OR(AND(gyorsaság&gt;=16,ügyesség&gt;=16),tapasztaltharcos),"2x","1x")</f>
        <v>1x</v>
      </c>
      <c r="D62" s="86">
        <v>8</v>
      </c>
      <c r="E62" s="86">
        <v>17</v>
      </c>
      <c r="F62" s="86">
        <v>5</v>
      </c>
      <c r="G62" s="83" t="str">
        <f t="shared" si="1"/>
        <v>k5</v>
      </c>
      <c r="H62" s="104">
        <v>5</v>
      </c>
      <c r="I62" s="82" t="s">
        <v>581</v>
      </c>
      <c r="J62" s="79" t="s">
        <v>140</v>
      </c>
      <c r="K62" s="87">
        <v>0.2</v>
      </c>
      <c r="L62" s="85" t="s">
        <v>543</v>
      </c>
      <c r="M62" s="79" t="s">
        <v>141</v>
      </c>
      <c r="N62" s="79" t="s">
        <v>142</v>
      </c>
      <c r="O62" s="78"/>
      <c r="P62" s="79" t="s">
        <v>655</v>
      </c>
      <c r="R62" s="7"/>
    </row>
    <row r="63" spans="1:18">
      <c r="A63" s="22" t="s">
        <v>653</v>
      </c>
      <c r="B63" s="79" t="s">
        <v>540</v>
      </c>
      <c r="C63" s="108" t="str">
        <f>IF(OR(tapasztaltharcos),"2x","1x")</f>
        <v>1x</v>
      </c>
      <c r="D63" s="86">
        <v>8</v>
      </c>
      <c r="E63" s="86">
        <v>15</v>
      </c>
      <c r="F63" s="86">
        <v>12</v>
      </c>
      <c r="G63" s="83" t="str">
        <f t="shared" si="1"/>
        <v>k6+1</v>
      </c>
      <c r="H63" s="104">
        <v>5</v>
      </c>
      <c r="I63" s="82" t="s">
        <v>558</v>
      </c>
      <c r="J63" s="79" t="s">
        <v>140</v>
      </c>
      <c r="K63" s="87">
        <v>0.6</v>
      </c>
      <c r="L63" s="85" t="s">
        <v>550</v>
      </c>
      <c r="M63" s="79" t="s">
        <v>141</v>
      </c>
      <c r="N63" s="79" t="s">
        <v>142</v>
      </c>
      <c r="O63" s="78"/>
      <c r="P63" s="79" t="s">
        <v>651</v>
      </c>
      <c r="R63" s="7"/>
    </row>
    <row r="64" spans="1:18">
      <c r="A64" s="22" t="s">
        <v>399</v>
      </c>
      <c r="B64" s="79" t="s">
        <v>540</v>
      </c>
      <c r="C64" s="108" t="str">
        <f>IF(OR(tapasztaltharcos),"2x","1x")</f>
        <v>1x</v>
      </c>
      <c r="D64" s="86">
        <v>4</v>
      </c>
      <c r="E64" s="86">
        <v>16</v>
      </c>
      <c r="F64" s="86">
        <v>18</v>
      </c>
      <c r="G64" s="83" t="str">
        <f t="shared" si="1"/>
        <v>2k6+2</v>
      </c>
      <c r="H64" s="104">
        <v>5</v>
      </c>
      <c r="I64" s="82" t="s">
        <v>587</v>
      </c>
      <c r="J64" s="79" t="s">
        <v>140</v>
      </c>
      <c r="K64" s="87">
        <v>1.3</v>
      </c>
      <c r="L64" s="85" t="s">
        <v>224</v>
      </c>
      <c r="M64" s="79" t="s">
        <v>141</v>
      </c>
      <c r="N64" s="79" t="s">
        <v>162</v>
      </c>
      <c r="O64" s="78"/>
      <c r="P64" s="79" t="s">
        <v>655</v>
      </c>
      <c r="R64" s="7"/>
    </row>
    <row r="65" spans="1:18">
      <c r="A65" s="22" t="s">
        <v>518</v>
      </c>
      <c r="B65" s="79" t="s">
        <v>535</v>
      </c>
      <c r="C65" s="108" t="str">
        <f>IF(AND(gyorsaság&gt;=14,ügyesség&gt;=14),"2x","1x")</f>
        <v>1x</v>
      </c>
      <c r="D65" s="86">
        <v>4</v>
      </c>
      <c r="E65" s="88">
        <v>6</v>
      </c>
      <c r="F65" s="86">
        <v>110</v>
      </c>
      <c r="G65" s="83" t="str">
        <f t="shared" si="1"/>
        <v>k6+1</v>
      </c>
      <c r="H65" s="104">
        <v>5</v>
      </c>
      <c r="I65" s="82" t="s">
        <v>558</v>
      </c>
      <c r="J65" s="189"/>
      <c r="K65" s="87">
        <v>0.7</v>
      </c>
      <c r="L65" s="85" t="s">
        <v>620</v>
      </c>
      <c r="M65" s="79" t="s">
        <v>142</v>
      </c>
      <c r="N65" s="79" t="s">
        <v>141</v>
      </c>
      <c r="O65" s="78"/>
      <c r="P65" s="79" t="s">
        <v>615</v>
      </c>
      <c r="R65" s="7"/>
    </row>
    <row r="66" spans="1:18">
      <c r="A66" s="22" t="s">
        <v>453</v>
      </c>
      <c r="B66" s="79" t="s">
        <v>539</v>
      </c>
      <c r="C66" s="108" t="str">
        <f t="shared" ref="C66:C73" si="2">IF(OR(tapasztaltharcos),"2x","1x")</f>
        <v>1x</v>
      </c>
      <c r="D66" s="86">
        <v>4</v>
      </c>
      <c r="E66" s="86">
        <v>10</v>
      </c>
      <c r="F66" s="86">
        <v>16</v>
      </c>
      <c r="G66" s="83" t="str">
        <f t="shared" si="1"/>
        <v>k5</v>
      </c>
      <c r="H66" s="104">
        <v>5</v>
      </c>
      <c r="I66" s="82" t="s">
        <v>581</v>
      </c>
      <c r="J66" s="79" t="s">
        <v>152</v>
      </c>
      <c r="K66" s="87">
        <v>1.2</v>
      </c>
      <c r="L66" s="85" t="s">
        <v>602</v>
      </c>
      <c r="M66" s="79" t="s">
        <v>142</v>
      </c>
      <c r="N66" s="79" t="s">
        <v>149</v>
      </c>
      <c r="O66" s="78"/>
      <c r="P66" s="79" t="s">
        <v>592</v>
      </c>
      <c r="R66" s="7"/>
    </row>
    <row r="67" spans="1:18">
      <c r="A67" s="22" t="s">
        <v>400</v>
      </c>
      <c r="B67" s="79" t="s">
        <v>540</v>
      </c>
      <c r="C67" s="108" t="str">
        <f t="shared" si="2"/>
        <v>1x</v>
      </c>
      <c r="D67" s="86">
        <v>6</v>
      </c>
      <c r="E67" s="86">
        <v>14</v>
      </c>
      <c r="F67" s="86">
        <v>16</v>
      </c>
      <c r="G67" s="83" t="str">
        <f t="shared" si="1"/>
        <v>k10</v>
      </c>
      <c r="H67" s="104">
        <v>5</v>
      </c>
      <c r="I67" s="82" t="s">
        <v>559</v>
      </c>
      <c r="J67" s="79" t="s">
        <v>140</v>
      </c>
      <c r="K67" s="87">
        <v>1.5</v>
      </c>
      <c r="L67" s="85" t="s">
        <v>594</v>
      </c>
      <c r="M67" s="79" t="s">
        <v>141</v>
      </c>
      <c r="N67" s="79" t="s">
        <v>151</v>
      </c>
      <c r="O67" s="78"/>
      <c r="P67" s="79" t="s">
        <v>592</v>
      </c>
      <c r="R67" s="7"/>
    </row>
    <row r="68" spans="1:18">
      <c r="A68" s="22" t="s">
        <v>478</v>
      </c>
      <c r="B68" s="79" t="s">
        <v>538</v>
      </c>
      <c r="C68" s="108" t="str">
        <f t="shared" si="2"/>
        <v>1x</v>
      </c>
      <c r="D68" s="86">
        <v>3</v>
      </c>
      <c r="E68" s="86">
        <v>14</v>
      </c>
      <c r="F68" s="86">
        <v>11</v>
      </c>
      <c r="G68" s="83" t="str">
        <f t="shared" si="1"/>
        <v>2k6</v>
      </c>
      <c r="H68" s="104">
        <v>5</v>
      </c>
      <c r="I68" s="82" t="s">
        <v>584</v>
      </c>
      <c r="J68" s="79" t="s">
        <v>140</v>
      </c>
      <c r="K68" s="87">
        <v>3</v>
      </c>
      <c r="L68" s="85" t="s">
        <v>193</v>
      </c>
      <c r="M68" s="79" t="s">
        <v>142</v>
      </c>
      <c r="N68" s="79" t="s">
        <v>143</v>
      </c>
      <c r="O68" s="78"/>
      <c r="P68" s="79" t="s">
        <v>570</v>
      </c>
      <c r="R68" s="7"/>
    </row>
    <row r="69" spans="1:18" s="148" customFormat="1">
      <c r="A69" s="191" t="s">
        <v>1137</v>
      </c>
      <c r="B69" s="189" t="s">
        <v>540</v>
      </c>
      <c r="C69" s="115" t="str">
        <f>IF(OR(tapasztaltharcos),"2x","1x")</f>
        <v>1x</v>
      </c>
      <c r="D69" s="88">
        <v>4</v>
      </c>
      <c r="E69" s="88">
        <v>14</v>
      </c>
      <c r="F69" s="88">
        <v>28</v>
      </c>
      <c r="G69" s="103" t="str">
        <f t="shared" si="1"/>
        <v>k10+1</v>
      </c>
      <c r="H69" s="104">
        <v>5</v>
      </c>
      <c r="I69" s="89" t="s">
        <v>561</v>
      </c>
      <c r="J69" s="189" t="s">
        <v>1141</v>
      </c>
      <c r="K69" s="189" t="s">
        <v>149</v>
      </c>
      <c r="L69" s="189" t="s">
        <v>149</v>
      </c>
      <c r="M69" s="189" t="s">
        <v>149</v>
      </c>
      <c r="N69" s="189" t="s">
        <v>149</v>
      </c>
      <c r="O69" s="78" t="s">
        <v>1138</v>
      </c>
      <c r="P69" s="79"/>
    </row>
    <row r="70" spans="1:18" s="148" customFormat="1">
      <c r="A70" s="191" t="s">
        <v>1139</v>
      </c>
      <c r="B70" s="189" t="s">
        <v>540</v>
      </c>
      <c r="C70" s="115" t="str">
        <f>IF(OR(AND(gyorsaság&gt;=16,ügyesség&gt;=16),tapasztaltharcos),"3x","1x")</f>
        <v>1x</v>
      </c>
      <c r="D70" s="88">
        <v>4</v>
      </c>
      <c r="E70" s="88">
        <v>14</v>
      </c>
      <c r="F70" s="88">
        <v>20</v>
      </c>
      <c r="G70" s="103" t="str">
        <f t="shared" si="1"/>
        <v>k10+1</v>
      </c>
      <c r="H70" s="104">
        <v>5</v>
      </c>
      <c r="I70" s="89" t="s">
        <v>561</v>
      </c>
      <c r="J70" s="189" t="s">
        <v>1141</v>
      </c>
      <c r="K70" s="189" t="s">
        <v>149</v>
      </c>
      <c r="L70" s="189" t="s">
        <v>149</v>
      </c>
      <c r="M70" s="189" t="s">
        <v>149</v>
      </c>
      <c r="N70" s="189" t="s">
        <v>149</v>
      </c>
      <c r="O70" s="78" t="s">
        <v>1138</v>
      </c>
      <c r="P70" s="79"/>
    </row>
    <row r="71" spans="1:18" s="148" customFormat="1">
      <c r="A71" s="191" t="s">
        <v>1140</v>
      </c>
      <c r="B71" s="189" t="s">
        <v>540</v>
      </c>
      <c r="C71" s="115" t="str">
        <f>IF(OR(AND(gyorsaság&gt;=16,ügyesség&gt;=16),tapasztaltharcos),"3x","1x")</f>
        <v>1x</v>
      </c>
      <c r="D71" s="88">
        <v>4</v>
      </c>
      <c r="E71" s="88">
        <v>14</v>
      </c>
      <c r="F71" s="88">
        <v>20</v>
      </c>
      <c r="G71" s="103" t="str">
        <f t="shared" si="1"/>
        <v>k6+2</v>
      </c>
      <c r="H71" s="104">
        <v>5</v>
      </c>
      <c r="I71" s="89" t="s">
        <v>557</v>
      </c>
      <c r="J71" s="189" t="s">
        <v>1141</v>
      </c>
      <c r="K71" s="189" t="s">
        <v>149</v>
      </c>
      <c r="L71" s="189" t="s">
        <v>149</v>
      </c>
      <c r="M71" s="189" t="s">
        <v>149</v>
      </c>
      <c r="N71" s="189" t="s">
        <v>149</v>
      </c>
      <c r="O71" s="78" t="s">
        <v>1138</v>
      </c>
      <c r="P71" s="79"/>
    </row>
    <row r="72" spans="1:18">
      <c r="A72" s="22" t="s">
        <v>654</v>
      </c>
      <c r="B72" s="79" t="s">
        <v>540</v>
      </c>
      <c r="C72" s="108" t="str">
        <f t="shared" si="2"/>
        <v>1x</v>
      </c>
      <c r="D72" s="86">
        <v>6</v>
      </c>
      <c r="E72" s="86">
        <v>14</v>
      </c>
      <c r="F72" s="86">
        <v>16</v>
      </c>
      <c r="G72" s="83" t="str">
        <f t="shared" si="1"/>
        <v>k10</v>
      </c>
      <c r="H72" s="104">
        <v>5</v>
      </c>
      <c r="I72" s="82" t="s">
        <v>559</v>
      </c>
      <c r="J72" s="79" t="s">
        <v>140</v>
      </c>
      <c r="K72" s="87">
        <v>1.3</v>
      </c>
      <c r="L72" s="85" t="s">
        <v>549</v>
      </c>
      <c r="M72" s="79" t="s">
        <v>141</v>
      </c>
      <c r="N72" s="79" t="s">
        <v>151</v>
      </c>
      <c r="O72" s="78"/>
      <c r="P72" s="79" t="s">
        <v>651</v>
      </c>
      <c r="R72" s="7"/>
    </row>
    <row r="73" spans="1:18">
      <c r="A73" s="22" t="s">
        <v>479</v>
      </c>
      <c r="B73" s="79" t="s">
        <v>538</v>
      </c>
      <c r="C73" s="108" t="str">
        <f t="shared" si="2"/>
        <v>1x</v>
      </c>
      <c r="D73" s="86">
        <v>4</v>
      </c>
      <c r="E73" s="86">
        <v>13</v>
      </c>
      <c r="F73" s="86">
        <v>11</v>
      </c>
      <c r="G73" s="83" t="str">
        <f t="shared" si="1"/>
        <v>2k6+1</v>
      </c>
      <c r="H73" s="104">
        <v>5</v>
      </c>
      <c r="I73" s="82" t="s">
        <v>578</v>
      </c>
      <c r="J73" s="79" t="s">
        <v>140</v>
      </c>
      <c r="K73" s="87">
        <v>3</v>
      </c>
      <c r="L73" s="85" t="s">
        <v>579</v>
      </c>
      <c r="M73" s="79" t="s">
        <v>142</v>
      </c>
      <c r="N73" s="79" t="s">
        <v>159</v>
      </c>
      <c r="O73" s="78" t="s">
        <v>194</v>
      </c>
      <c r="P73" s="79" t="s">
        <v>570</v>
      </c>
      <c r="R73" s="7"/>
    </row>
    <row r="74" spans="1:18">
      <c r="A74" s="22" t="s">
        <v>401</v>
      </c>
      <c r="B74" s="79" t="s">
        <v>540</v>
      </c>
      <c r="C74" s="108" t="str">
        <f>IF(OR(tapasztaltharcos),"2x","1x")</f>
        <v>1x</v>
      </c>
      <c r="D74" s="86">
        <v>7</v>
      </c>
      <c r="E74" s="86">
        <v>14</v>
      </c>
      <c r="F74" s="86">
        <v>14</v>
      </c>
      <c r="G74" s="83" t="str">
        <f t="shared" si="1"/>
        <v>k6+2</v>
      </c>
      <c r="H74" s="104">
        <v>5</v>
      </c>
      <c r="I74" s="82" t="s">
        <v>557</v>
      </c>
      <c r="J74" s="79" t="s">
        <v>140</v>
      </c>
      <c r="K74" s="87">
        <v>0.8</v>
      </c>
      <c r="L74" s="85" t="s">
        <v>599</v>
      </c>
      <c r="M74" s="79" t="s">
        <v>141</v>
      </c>
      <c r="N74" s="79" t="s">
        <v>143</v>
      </c>
      <c r="O74" s="78" t="s">
        <v>164</v>
      </c>
      <c r="P74" s="79" t="s">
        <v>592</v>
      </c>
      <c r="R74" s="7"/>
    </row>
    <row r="75" spans="1:18" s="148" customFormat="1">
      <c r="A75" s="191" t="s">
        <v>1161</v>
      </c>
      <c r="B75" s="189" t="s">
        <v>539</v>
      </c>
      <c r="C75" s="115" t="str">
        <f>IF(OR(tapasztaltharcos),"2x","1x")</f>
        <v>1x</v>
      </c>
      <c r="D75" s="88">
        <v>7</v>
      </c>
      <c r="E75" s="88">
        <v>11</v>
      </c>
      <c r="F75" s="88">
        <v>8</v>
      </c>
      <c r="G75" s="103" t="str">
        <f t="shared" si="1"/>
        <v>k6+1</v>
      </c>
      <c r="H75" s="104">
        <v>5</v>
      </c>
      <c r="I75" s="89" t="s">
        <v>558</v>
      </c>
      <c r="J75" s="189" t="s">
        <v>152</v>
      </c>
      <c r="K75" s="201">
        <v>1.5</v>
      </c>
      <c r="L75" s="190" t="s">
        <v>224</v>
      </c>
      <c r="M75" s="189" t="s">
        <v>141</v>
      </c>
      <c r="N75" s="203" t="s">
        <v>149</v>
      </c>
      <c r="O75" s="78" t="s">
        <v>1255</v>
      </c>
      <c r="P75" s="79"/>
    </row>
    <row r="76" spans="1:18">
      <c r="A76" s="22" t="s">
        <v>402</v>
      </c>
      <c r="B76" s="79" t="s">
        <v>540</v>
      </c>
      <c r="C76" s="115" t="str">
        <f>IF(OR(AND(gyorsaság&gt;=16,ügyesség&gt;=16),tapasztaltharcos),"2x","1x")</f>
        <v>1x</v>
      </c>
      <c r="D76" s="90">
        <v>8</v>
      </c>
      <c r="E76" s="90">
        <v>10</v>
      </c>
      <c r="F76" s="90">
        <v>2</v>
      </c>
      <c r="G76" s="83" t="str">
        <f t="shared" si="1"/>
        <v>k6+1</v>
      </c>
      <c r="H76" s="104">
        <v>5</v>
      </c>
      <c r="I76" s="82" t="s">
        <v>558</v>
      </c>
      <c r="J76" s="79" t="s">
        <v>140</v>
      </c>
      <c r="K76" s="87">
        <v>0.2</v>
      </c>
      <c r="L76" s="85" t="s">
        <v>223</v>
      </c>
      <c r="M76" s="79" t="s">
        <v>141</v>
      </c>
      <c r="N76" s="79" t="s">
        <v>142</v>
      </c>
      <c r="O76" s="78" t="s">
        <v>1174</v>
      </c>
      <c r="P76" s="79" t="s">
        <v>671</v>
      </c>
      <c r="R76" s="7"/>
    </row>
    <row r="77" spans="1:18">
      <c r="A77" s="22" t="s">
        <v>403</v>
      </c>
      <c r="B77" s="79" t="s">
        <v>540</v>
      </c>
      <c r="C77" s="108" t="str">
        <f>IF(OR(AND(gyorsaság&gt;=16,ügyesség&gt;=16),tapasztaltharcos),"2x","1x")</f>
        <v>1x</v>
      </c>
      <c r="D77" s="86">
        <v>10</v>
      </c>
      <c r="E77" s="86">
        <v>4</v>
      </c>
      <c r="F77" s="86">
        <v>0</v>
      </c>
      <c r="G77" s="83" t="str">
        <f t="shared" si="1"/>
        <v>k5</v>
      </c>
      <c r="H77" s="104">
        <v>5</v>
      </c>
      <c r="I77" s="82" t="s">
        <v>581</v>
      </c>
      <c r="J77" s="79" t="s">
        <v>140</v>
      </c>
      <c r="K77" s="87">
        <v>0.2</v>
      </c>
      <c r="L77" s="85" t="s">
        <v>602</v>
      </c>
      <c r="M77" s="79" t="s">
        <v>141</v>
      </c>
      <c r="N77" s="79" t="s">
        <v>142</v>
      </c>
      <c r="O77" s="78"/>
      <c r="P77" s="79" t="s">
        <v>592</v>
      </c>
      <c r="R77" s="7"/>
    </row>
    <row r="78" spans="1:18">
      <c r="A78" s="22" t="s">
        <v>454</v>
      </c>
      <c r="B78" s="79" t="s">
        <v>539</v>
      </c>
      <c r="C78" s="108" t="str">
        <f>IF(OR(tapasztaltharcos),"2x","1x")</f>
        <v>1x</v>
      </c>
      <c r="D78" s="86">
        <v>3</v>
      </c>
      <c r="E78" s="86">
        <v>19</v>
      </c>
      <c r="F78" s="86">
        <v>16</v>
      </c>
      <c r="G78" s="83" t="str">
        <f t="shared" si="1"/>
        <v>k6+3</v>
      </c>
      <c r="H78" s="104">
        <v>5</v>
      </c>
      <c r="I78" s="82" t="s">
        <v>582</v>
      </c>
      <c r="J78" s="79" t="s">
        <v>152</v>
      </c>
      <c r="K78" s="87">
        <v>1</v>
      </c>
      <c r="L78" s="85" t="s">
        <v>550</v>
      </c>
      <c r="M78" s="79" t="s">
        <v>142</v>
      </c>
      <c r="N78" s="79" t="s">
        <v>149</v>
      </c>
      <c r="O78" s="78"/>
      <c r="P78" s="79" t="s">
        <v>655</v>
      </c>
      <c r="R78" s="7"/>
    </row>
    <row r="79" spans="1:18">
      <c r="A79" s="22" t="s">
        <v>455</v>
      </c>
      <c r="B79" s="79" t="s">
        <v>539</v>
      </c>
      <c r="C79" s="108" t="str">
        <f>IF(OR(tapasztaltharcos),"1x","1/2x")</f>
        <v>1/2x</v>
      </c>
      <c r="D79" s="86">
        <v>0</v>
      </c>
      <c r="E79" s="86">
        <v>7</v>
      </c>
      <c r="F79" s="86">
        <v>6</v>
      </c>
      <c r="G79" s="83" t="str">
        <f t="shared" ref="G79:G113" si="3">$I79&amp;IF($J79="","",IF(erő&lt;=VALUE(MID($J79,2,2)),"","+"&amp;TEXT(erő-VALUE(MID($J79,2,2)),"0")))</f>
        <v>3k6</v>
      </c>
      <c r="H79" s="104">
        <v>5</v>
      </c>
      <c r="I79" s="89" t="s">
        <v>128</v>
      </c>
      <c r="J79" s="79" t="s">
        <v>152</v>
      </c>
      <c r="K79" s="87">
        <v>3</v>
      </c>
      <c r="L79" s="85" t="s">
        <v>608</v>
      </c>
      <c r="M79" s="79" t="s">
        <v>142</v>
      </c>
      <c r="N79" s="79" t="s">
        <v>149</v>
      </c>
      <c r="O79" s="78"/>
      <c r="P79" s="79" t="s">
        <v>592</v>
      </c>
      <c r="R79" s="7"/>
    </row>
    <row r="80" spans="1:18">
      <c r="A80" s="22" t="s">
        <v>456</v>
      </c>
      <c r="B80" s="79" t="s">
        <v>539</v>
      </c>
      <c r="C80" s="108" t="str">
        <f>IF(OR(tapasztaltharcos),"1x","1/2x")</f>
        <v>1/2x</v>
      </c>
      <c r="D80" s="86">
        <v>0</v>
      </c>
      <c r="E80" s="86">
        <v>8</v>
      </c>
      <c r="F80" s="86">
        <v>6</v>
      </c>
      <c r="G80" s="83" t="str">
        <f t="shared" si="3"/>
        <v>3k6</v>
      </c>
      <c r="H80" s="104">
        <v>5</v>
      </c>
      <c r="I80" s="89" t="s">
        <v>128</v>
      </c>
      <c r="J80" s="79" t="s">
        <v>152</v>
      </c>
      <c r="K80" s="87">
        <v>5</v>
      </c>
      <c r="L80" s="85" t="s">
        <v>548</v>
      </c>
      <c r="M80" s="79" t="s">
        <v>142</v>
      </c>
      <c r="N80" s="79" t="s">
        <v>159</v>
      </c>
      <c r="O80" s="78"/>
      <c r="P80" s="79" t="s">
        <v>592</v>
      </c>
      <c r="R80" s="7"/>
    </row>
    <row r="81" spans="1:18">
      <c r="A81" s="22" t="s">
        <v>497</v>
      </c>
      <c r="B81" s="79" t="s">
        <v>534</v>
      </c>
      <c r="C81" s="108" t="str">
        <f>IF(OR(tapasztaltharcos),"2x","1x")</f>
        <v>1x</v>
      </c>
      <c r="D81" s="86">
        <v>9</v>
      </c>
      <c r="E81" s="86">
        <v>19</v>
      </c>
      <c r="F81" s="86">
        <v>13</v>
      </c>
      <c r="G81" s="83" t="str">
        <f t="shared" si="3"/>
        <v>k6+2</v>
      </c>
      <c r="H81" s="104">
        <v>5</v>
      </c>
      <c r="I81" s="82" t="s">
        <v>557</v>
      </c>
      <c r="J81" s="81" t="s">
        <v>140</v>
      </c>
      <c r="K81" s="91">
        <v>0.4</v>
      </c>
      <c r="L81" s="92" t="s">
        <v>185</v>
      </c>
      <c r="M81" s="79" t="s">
        <v>141</v>
      </c>
      <c r="N81" s="79" t="s">
        <v>149</v>
      </c>
      <c r="O81" s="78" t="s">
        <v>209</v>
      </c>
      <c r="P81" s="79" t="s">
        <v>580</v>
      </c>
      <c r="R81" s="7"/>
    </row>
    <row r="82" spans="1:18" s="148" customFormat="1">
      <c r="A82" s="191" t="s">
        <v>1175</v>
      </c>
      <c r="B82" s="189" t="s">
        <v>540</v>
      </c>
      <c r="C82" s="115" t="str">
        <f>IF(OR(AND(gyorsaság&gt;=16,ügyesség&gt;=16),tapasztaltharcos),"2x","1x")</f>
        <v>1x</v>
      </c>
      <c r="D82" s="88">
        <v>6</v>
      </c>
      <c r="E82" s="88">
        <v>10</v>
      </c>
      <c r="F82" s="88">
        <v>10</v>
      </c>
      <c r="G82" s="103" t="str">
        <f t="shared" si="3"/>
        <v>k6+1</v>
      </c>
      <c r="H82" s="104">
        <v>5</v>
      </c>
      <c r="I82" s="89" t="s">
        <v>558</v>
      </c>
      <c r="J82" s="189" t="s">
        <v>140</v>
      </c>
      <c r="K82" s="196" t="s">
        <v>149</v>
      </c>
      <c r="L82" s="190" t="s">
        <v>149</v>
      </c>
      <c r="M82" s="189" t="s">
        <v>149</v>
      </c>
      <c r="N82" s="189" t="s">
        <v>149</v>
      </c>
      <c r="O82" s="78" t="s">
        <v>1174</v>
      </c>
      <c r="P82" s="79"/>
    </row>
    <row r="83" spans="1:18" s="7" customFormat="1">
      <c r="A83" s="22" t="s">
        <v>658</v>
      </c>
      <c r="B83" s="79" t="s">
        <v>667</v>
      </c>
      <c r="C83" s="108" t="str">
        <f>"2x"</f>
        <v>2x</v>
      </c>
      <c r="D83" s="86">
        <v>10</v>
      </c>
      <c r="E83" s="86">
        <v>15</v>
      </c>
      <c r="F83" s="86">
        <v>9</v>
      </c>
      <c r="G83" s="83" t="str">
        <f t="shared" si="3"/>
        <v>k6-1</v>
      </c>
      <c r="H83" s="104">
        <v>0</v>
      </c>
      <c r="I83" s="82" t="s">
        <v>589</v>
      </c>
      <c r="J83" s="79" t="s">
        <v>152</v>
      </c>
      <c r="K83" s="79" t="s">
        <v>149</v>
      </c>
      <c r="L83" s="79" t="s">
        <v>149</v>
      </c>
      <c r="M83" s="79" t="s">
        <v>149</v>
      </c>
      <c r="N83" s="79" t="s">
        <v>149</v>
      </c>
      <c r="O83" s="78"/>
      <c r="P83" s="79" t="s">
        <v>659</v>
      </c>
    </row>
    <row r="84" spans="1:18" s="7" customFormat="1">
      <c r="A84" s="22" t="s">
        <v>662</v>
      </c>
      <c r="B84" s="79" t="s">
        <v>667</v>
      </c>
      <c r="C84" s="108" t="str">
        <f>"2x"</f>
        <v>2x</v>
      </c>
      <c r="D84" s="86">
        <v>7</v>
      </c>
      <c r="E84" s="86">
        <v>10</v>
      </c>
      <c r="F84" s="86">
        <v>19</v>
      </c>
      <c r="G84" s="83" t="str">
        <f t="shared" si="3"/>
        <v>k3+1</v>
      </c>
      <c r="H84" s="104">
        <v>0</v>
      </c>
      <c r="I84" s="82" t="s">
        <v>588</v>
      </c>
      <c r="J84" s="79" t="s">
        <v>152</v>
      </c>
      <c r="K84" s="79" t="s">
        <v>149</v>
      </c>
      <c r="L84" s="79" t="s">
        <v>149</v>
      </c>
      <c r="M84" s="79" t="s">
        <v>149</v>
      </c>
      <c r="N84" s="79" t="s">
        <v>149</v>
      </c>
      <c r="O84" s="78"/>
      <c r="P84" s="79" t="s">
        <v>659</v>
      </c>
    </row>
    <row r="85" spans="1:18" s="7" customFormat="1">
      <c r="A85" s="22" t="s">
        <v>663</v>
      </c>
      <c r="B85" s="79" t="s">
        <v>667</v>
      </c>
      <c r="C85" s="108" t="str">
        <f>"1x"</f>
        <v>1x</v>
      </c>
      <c r="D85" s="86">
        <v>2</v>
      </c>
      <c r="E85" s="86">
        <v>18</v>
      </c>
      <c r="F85" s="86">
        <v>5</v>
      </c>
      <c r="G85" s="83" t="str">
        <f t="shared" si="3"/>
        <v>2k6+1</v>
      </c>
      <c r="H85" s="104">
        <v>0</v>
      </c>
      <c r="I85" s="82" t="s">
        <v>578</v>
      </c>
      <c r="J85" s="79" t="s">
        <v>152</v>
      </c>
      <c r="K85" s="79" t="s">
        <v>149</v>
      </c>
      <c r="L85" s="79" t="s">
        <v>149</v>
      </c>
      <c r="M85" s="79" t="s">
        <v>149</v>
      </c>
      <c r="N85" s="79" t="s">
        <v>149</v>
      </c>
      <c r="O85" s="78"/>
      <c r="P85" s="79" t="s">
        <v>659</v>
      </c>
    </row>
    <row r="86" spans="1:18" s="7" customFormat="1">
      <c r="A86" s="22" t="s">
        <v>668</v>
      </c>
      <c r="B86" s="79" t="s">
        <v>667</v>
      </c>
      <c r="C86" s="108" t="str">
        <f>"2x"</f>
        <v>2x</v>
      </c>
      <c r="D86" s="86">
        <v>11</v>
      </c>
      <c r="E86" s="86">
        <v>13</v>
      </c>
      <c r="F86" s="86">
        <v>14</v>
      </c>
      <c r="G86" s="83" t="str">
        <f t="shared" si="3"/>
        <v>k6-2</v>
      </c>
      <c r="H86" s="104">
        <v>0</v>
      </c>
      <c r="I86" s="82" t="s">
        <v>669</v>
      </c>
      <c r="J86" s="79" t="s">
        <v>152</v>
      </c>
      <c r="K86" s="79" t="s">
        <v>149</v>
      </c>
      <c r="L86" s="79" t="s">
        <v>149</v>
      </c>
      <c r="M86" s="79" t="s">
        <v>149</v>
      </c>
      <c r="N86" s="79" t="s">
        <v>149</v>
      </c>
      <c r="O86" s="78"/>
      <c r="P86" s="79" t="s">
        <v>666</v>
      </c>
    </row>
    <row r="87" spans="1:18" s="148" customFormat="1">
      <c r="A87" s="191" t="s">
        <v>1178</v>
      </c>
      <c r="B87" s="189" t="s">
        <v>667</v>
      </c>
      <c r="C87" s="115" t="str">
        <f>"2x"</f>
        <v>2x</v>
      </c>
      <c r="D87" s="88">
        <v>8</v>
      </c>
      <c r="E87" s="88">
        <v>10</v>
      </c>
      <c r="F87" s="88">
        <v>1</v>
      </c>
      <c r="G87" s="103" t="str">
        <f t="shared" si="3"/>
        <v>k6/2</v>
      </c>
      <c r="H87" s="104">
        <v>0</v>
      </c>
      <c r="I87" s="103" t="str">
        <f>IF(SUMIFS(Karakterlap!$L$20:$L$29,Karakterlap!$A$20:$A$29,acélkéz)=0,"k6/2",IF(VLOOKUP(acélkéz,Karakterlap!$A$20:$K$29,9,FALSE),"k6","k6/2"))</f>
        <v>k6/2</v>
      </c>
      <c r="J87" s="189" t="s">
        <v>140</v>
      </c>
      <c r="K87" s="203" t="s">
        <v>149</v>
      </c>
      <c r="L87" s="203" t="s">
        <v>149</v>
      </c>
      <c r="M87" s="203" t="s">
        <v>149</v>
      </c>
      <c r="N87" s="203" t="s">
        <v>149</v>
      </c>
      <c r="O87" s="78" t="s">
        <v>1179</v>
      </c>
      <c r="P87" s="79"/>
    </row>
    <row r="88" spans="1:18">
      <c r="A88" s="22" t="s">
        <v>519</v>
      </c>
      <c r="B88" s="79" t="s">
        <v>535</v>
      </c>
      <c r="C88" s="108" t="str">
        <f>IF(AND(gyorsaság&gt;=14,ügyesség&gt;=14),"2x","1x")</f>
        <v>1x</v>
      </c>
      <c r="D88" s="86">
        <v>3</v>
      </c>
      <c r="E88" s="86">
        <v>14</v>
      </c>
      <c r="F88" s="86">
        <v>30</v>
      </c>
      <c r="G88" s="83" t="str">
        <f t="shared" si="3"/>
        <v>k3</v>
      </c>
      <c r="H88" s="104">
        <v>5</v>
      </c>
      <c r="I88" s="82" t="s">
        <v>576</v>
      </c>
      <c r="J88" s="79"/>
      <c r="K88" s="87">
        <v>2</v>
      </c>
      <c r="L88" s="85" t="s">
        <v>622</v>
      </c>
      <c r="M88" s="79" t="s">
        <v>142</v>
      </c>
      <c r="N88" s="79" t="s">
        <v>141</v>
      </c>
      <c r="O88" s="78"/>
      <c r="P88" s="79" t="s">
        <v>615</v>
      </c>
      <c r="R88" s="7"/>
    </row>
    <row r="89" spans="1:18">
      <c r="A89" s="22" t="s">
        <v>498</v>
      </c>
      <c r="B89" s="79" t="s">
        <v>534</v>
      </c>
      <c r="C89" s="108" t="str">
        <f>"2x"</f>
        <v>2x</v>
      </c>
      <c r="D89" s="86">
        <v>10</v>
      </c>
      <c r="E89" s="86">
        <v>20</v>
      </c>
      <c r="F89" s="86">
        <v>20</v>
      </c>
      <c r="G89" s="83" t="str">
        <f t="shared" si="3"/>
        <v>k6</v>
      </c>
      <c r="H89" s="104">
        <v>5</v>
      </c>
      <c r="I89" s="82" t="s">
        <v>575</v>
      </c>
      <c r="J89" s="79" t="s">
        <v>140</v>
      </c>
      <c r="K89" s="93" t="s">
        <v>149</v>
      </c>
      <c r="L89" s="85" t="s">
        <v>149</v>
      </c>
      <c r="M89" s="79" t="s">
        <v>149</v>
      </c>
      <c r="N89" s="79" t="s">
        <v>149</v>
      </c>
      <c r="O89" s="78"/>
      <c r="P89" s="79" t="s">
        <v>639</v>
      </c>
      <c r="R89" s="7"/>
    </row>
    <row r="90" spans="1:18">
      <c r="A90" s="22" t="s">
        <v>623</v>
      </c>
      <c r="B90" s="79" t="s">
        <v>535</v>
      </c>
      <c r="C90" s="108" t="str">
        <f>IF(AND(gyorsaság&gt;=14,ügyesség&gt;=14),"3x","1x")</f>
        <v>1x</v>
      </c>
      <c r="D90" s="86">
        <v>9</v>
      </c>
      <c r="E90" s="86">
        <v>13</v>
      </c>
      <c r="F90" s="86">
        <v>30</v>
      </c>
      <c r="G90" s="83" t="str">
        <f t="shared" si="3"/>
        <v>k3</v>
      </c>
      <c r="H90" s="104">
        <v>5</v>
      </c>
      <c r="I90" s="82" t="s">
        <v>576</v>
      </c>
      <c r="J90" s="79"/>
      <c r="K90" s="87">
        <v>3</v>
      </c>
      <c r="L90" s="85" t="s">
        <v>624</v>
      </c>
      <c r="M90" s="79" t="s">
        <v>141</v>
      </c>
      <c r="N90" s="79" t="s">
        <v>141</v>
      </c>
      <c r="O90" s="78"/>
      <c r="P90" s="79" t="s">
        <v>615</v>
      </c>
      <c r="R90" s="7"/>
    </row>
    <row r="91" spans="1:18">
      <c r="A91" s="22" t="s">
        <v>404</v>
      </c>
      <c r="B91" s="79" t="s">
        <v>540</v>
      </c>
      <c r="C91" s="108" t="str">
        <f>IF(OR(tapasztaltharcos),"2x","1x")</f>
        <v>1x</v>
      </c>
      <c r="D91" s="86">
        <v>8</v>
      </c>
      <c r="E91" s="86">
        <v>10</v>
      </c>
      <c r="F91" s="86">
        <v>14</v>
      </c>
      <c r="G91" s="83" t="str">
        <f t="shared" si="3"/>
        <v>k6+2</v>
      </c>
      <c r="H91" s="104">
        <v>5</v>
      </c>
      <c r="I91" s="82" t="s">
        <v>557</v>
      </c>
      <c r="J91" s="79" t="s">
        <v>140</v>
      </c>
      <c r="K91" s="87">
        <v>0.7</v>
      </c>
      <c r="L91" s="85" t="s">
        <v>636</v>
      </c>
      <c r="M91" s="79" t="s">
        <v>141</v>
      </c>
      <c r="N91" s="79" t="s">
        <v>143</v>
      </c>
      <c r="O91" s="78" t="s">
        <v>165</v>
      </c>
      <c r="P91" s="79" t="s">
        <v>674</v>
      </c>
      <c r="R91" s="7"/>
    </row>
    <row r="92" spans="1:18">
      <c r="A92" s="22" t="s">
        <v>405</v>
      </c>
      <c r="B92" s="79" t="s">
        <v>540</v>
      </c>
      <c r="C92" s="108" t="str">
        <f>IF(OR(tapasztaltharcos),"2x","1x")</f>
        <v>1x</v>
      </c>
      <c r="D92" s="86">
        <v>6</v>
      </c>
      <c r="E92" s="86">
        <v>14</v>
      </c>
      <c r="F92" s="86">
        <v>15</v>
      </c>
      <c r="G92" s="83" t="str">
        <f t="shared" si="3"/>
        <v>k10</v>
      </c>
      <c r="H92" s="104">
        <v>5</v>
      </c>
      <c r="I92" s="82" t="s">
        <v>559</v>
      </c>
      <c r="J92" s="79" t="s">
        <v>140</v>
      </c>
      <c r="K92" s="87">
        <v>1.4</v>
      </c>
      <c r="L92" s="85" t="s">
        <v>544</v>
      </c>
      <c r="M92" s="79" t="s">
        <v>141</v>
      </c>
      <c r="N92" s="79" t="s">
        <v>151</v>
      </c>
      <c r="O92" s="78"/>
      <c r="P92" s="79" t="s">
        <v>592</v>
      </c>
      <c r="R92" s="7"/>
    </row>
    <row r="93" spans="1:18">
      <c r="A93" s="22" t="s">
        <v>631</v>
      </c>
      <c r="B93" s="79" t="s">
        <v>537</v>
      </c>
      <c r="C93" s="108" t="str">
        <f>IF(OR(tapasztaltharcos),"2x","1x")</f>
        <v>1x</v>
      </c>
      <c r="D93" s="86">
        <v>1</v>
      </c>
      <c r="E93" s="86">
        <v>0</v>
      </c>
      <c r="F93" s="86">
        <v>20</v>
      </c>
      <c r="G93" s="83" t="str">
        <f t="shared" si="3"/>
        <v>k6</v>
      </c>
      <c r="H93" s="104">
        <v>0</v>
      </c>
      <c r="I93" s="82" t="s">
        <v>575</v>
      </c>
      <c r="J93" s="79" t="s">
        <v>140</v>
      </c>
      <c r="K93" s="87">
        <v>1</v>
      </c>
      <c r="L93" s="85" t="s">
        <v>146</v>
      </c>
      <c r="M93" s="79" t="s">
        <v>141</v>
      </c>
      <c r="N93" s="79" t="s">
        <v>151</v>
      </c>
      <c r="O93" s="78"/>
      <c r="P93" s="79" t="s">
        <v>615</v>
      </c>
      <c r="R93" s="7"/>
    </row>
    <row r="94" spans="1:18">
      <c r="A94" s="22" t="s">
        <v>499</v>
      </c>
      <c r="B94" s="79" t="s">
        <v>534</v>
      </c>
      <c r="C94" s="108" t="str">
        <f>IF(OR(AND(gyorsaság&gt;=16,ügyesség&gt;=16),tapasztaltharcos),"2x","1x")</f>
        <v>1x</v>
      </c>
      <c r="D94" s="86">
        <v>4</v>
      </c>
      <c r="E94" s="86">
        <v>6</v>
      </c>
      <c r="F94" s="86">
        <v>0</v>
      </c>
      <c r="G94" s="83" t="str">
        <f t="shared" si="3"/>
        <v>k3</v>
      </c>
      <c r="H94" s="104">
        <v>5</v>
      </c>
      <c r="I94" s="82" t="s">
        <v>576</v>
      </c>
      <c r="J94" s="79" t="s">
        <v>140</v>
      </c>
      <c r="K94" s="87">
        <v>0.5</v>
      </c>
      <c r="L94" s="85" t="s">
        <v>628</v>
      </c>
      <c r="M94" s="79" t="s">
        <v>141</v>
      </c>
      <c r="N94" s="79" t="s">
        <v>149</v>
      </c>
      <c r="O94" s="78"/>
      <c r="P94" s="79" t="s">
        <v>615</v>
      </c>
      <c r="R94" s="7"/>
    </row>
    <row r="95" spans="1:18">
      <c r="A95" s="22" t="s">
        <v>480</v>
      </c>
      <c r="B95" s="79" t="s">
        <v>538</v>
      </c>
      <c r="C95" s="108" t="str">
        <f>IF(OR(tapasztaltharcos),"2x","1x")</f>
        <v>1x</v>
      </c>
      <c r="D95" s="86">
        <v>2</v>
      </c>
      <c r="E95" s="86">
        <v>11</v>
      </c>
      <c r="F95" s="86">
        <v>12</v>
      </c>
      <c r="G95" s="83" t="str">
        <f t="shared" si="3"/>
        <v>k10</v>
      </c>
      <c r="H95" s="104">
        <v>5</v>
      </c>
      <c r="I95" s="82" t="s">
        <v>559</v>
      </c>
      <c r="J95" s="79" t="s">
        <v>140</v>
      </c>
      <c r="K95" s="87">
        <v>2</v>
      </c>
      <c r="L95" s="85" t="s">
        <v>616</v>
      </c>
      <c r="M95" s="79" t="s">
        <v>142</v>
      </c>
      <c r="N95" s="79" t="s">
        <v>142</v>
      </c>
      <c r="O95" s="78"/>
      <c r="P95" s="79" t="s">
        <v>615</v>
      </c>
      <c r="R95" s="7"/>
    </row>
    <row r="96" spans="1:18">
      <c r="A96" s="22" t="s">
        <v>520</v>
      </c>
      <c r="B96" s="79" t="s">
        <v>535</v>
      </c>
      <c r="C96" s="109" t="str">
        <f>"1x"</f>
        <v>1x</v>
      </c>
      <c r="D96" s="86">
        <v>2</v>
      </c>
      <c r="E96" s="86">
        <v>16</v>
      </c>
      <c r="F96" s="86">
        <v>50</v>
      </c>
      <c r="G96" s="83" t="str">
        <f t="shared" si="3"/>
        <v>k6+1</v>
      </c>
      <c r="H96" s="104">
        <v>5</v>
      </c>
      <c r="I96" s="82" t="s">
        <v>558</v>
      </c>
      <c r="J96" s="79"/>
      <c r="K96" s="87">
        <v>3.5</v>
      </c>
      <c r="L96" s="85" t="s">
        <v>625</v>
      </c>
      <c r="M96" s="79" t="s">
        <v>142</v>
      </c>
      <c r="N96" s="79" t="s">
        <v>141</v>
      </c>
      <c r="O96" s="78"/>
      <c r="P96" s="79" t="s">
        <v>615</v>
      </c>
      <c r="R96" s="7"/>
    </row>
    <row r="97" spans="1:18">
      <c r="A97" s="22" t="s">
        <v>617</v>
      </c>
      <c r="B97" s="79" t="s">
        <v>538</v>
      </c>
      <c r="C97" s="108" t="str">
        <f>IF(OR(tapasztaltharcos),"1x","1/2x")</f>
        <v>1/2x</v>
      </c>
      <c r="D97" s="86">
        <v>1</v>
      </c>
      <c r="E97" s="86">
        <v>15</v>
      </c>
      <c r="F97" s="86">
        <v>0</v>
      </c>
      <c r="G97" s="83" t="str">
        <f t="shared" si="3"/>
        <v>k6</v>
      </c>
      <c r="H97" s="104">
        <v>5</v>
      </c>
      <c r="I97" s="89" t="s">
        <v>575</v>
      </c>
      <c r="J97" s="79" t="s">
        <v>140</v>
      </c>
      <c r="K97" s="87">
        <v>3.5</v>
      </c>
      <c r="L97" s="85" t="s">
        <v>549</v>
      </c>
      <c r="M97" s="79" t="s">
        <v>141</v>
      </c>
      <c r="N97" s="79" t="s">
        <v>142</v>
      </c>
      <c r="O97" s="78"/>
      <c r="P97" s="79" t="s">
        <v>615</v>
      </c>
      <c r="R97" s="7"/>
    </row>
    <row r="98" spans="1:18">
      <c r="A98" s="22" t="s">
        <v>528</v>
      </c>
      <c r="B98" s="79" t="s">
        <v>537</v>
      </c>
      <c r="C98" s="108" t="str">
        <f>IF(OR(tapasztaltharcos),"2x","1x")</f>
        <v>1x</v>
      </c>
      <c r="D98" s="86">
        <v>0</v>
      </c>
      <c r="E98" s="88">
        <v>1</v>
      </c>
      <c r="F98" s="86">
        <v>35</v>
      </c>
      <c r="G98" s="83" t="str">
        <f t="shared" si="3"/>
        <v>k6</v>
      </c>
      <c r="H98" s="104">
        <v>0</v>
      </c>
      <c r="I98" s="82" t="s">
        <v>575</v>
      </c>
      <c r="J98" s="79" t="s">
        <v>140</v>
      </c>
      <c r="K98" s="87">
        <v>3</v>
      </c>
      <c r="L98" s="85" t="s">
        <v>597</v>
      </c>
      <c r="M98" s="79" t="s">
        <v>141</v>
      </c>
      <c r="N98" s="79" t="s">
        <v>144</v>
      </c>
      <c r="O98" s="78"/>
      <c r="P98" s="79" t="s">
        <v>615</v>
      </c>
      <c r="R98" s="7"/>
    </row>
    <row r="99" spans="1:18">
      <c r="A99" s="22" t="s">
        <v>500</v>
      </c>
      <c r="B99" s="79" t="s">
        <v>534</v>
      </c>
      <c r="C99" s="108" t="str">
        <f>IF(OR(AND(gyorsaság&gt;=16,ügyesség&gt;=16),tapasztaltharcos),"2x","1x")</f>
        <v>1x</v>
      </c>
      <c r="D99" s="86">
        <v>10</v>
      </c>
      <c r="E99" s="86">
        <v>8</v>
      </c>
      <c r="F99" s="86">
        <v>4</v>
      </c>
      <c r="G99" s="83" t="str">
        <f t="shared" si="3"/>
        <v>k6</v>
      </c>
      <c r="H99" s="104">
        <v>5</v>
      </c>
      <c r="I99" s="82" t="s">
        <v>575</v>
      </c>
      <c r="J99" s="79" t="s">
        <v>140</v>
      </c>
      <c r="K99" s="87">
        <v>0.3</v>
      </c>
      <c r="L99" s="85" t="s">
        <v>204</v>
      </c>
      <c r="M99" s="79" t="s">
        <v>141</v>
      </c>
      <c r="N99" s="79" t="s">
        <v>142</v>
      </c>
      <c r="O99" s="78" t="s">
        <v>210</v>
      </c>
      <c r="P99" s="79" t="s">
        <v>590</v>
      </c>
      <c r="R99" s="7"/>
    </row>
    <row r="100" spans="1:18" s="7" customFormat="1">
      <c r="A100" s="22" t="s">
        <v>660</v>
      </c>
      <c r="B100" s="79" t="s">
        <v>667</v>
      </c>
      <c r="C100" s="108" t="str">
        <f>"2x"</f>
        <v>2x</v>
      </c>
      <c r="D100" s="86">
        <v>11</v>
      </c>
      <c r="E100" s="86">
        <v>15</v>
      </c>
      <c r="F100" s="86">
        <v>5</v>
      </c>
      <c r="G100" s="83" t="str">
        <f t="shared" si="3"/>
        <v>k6</v>
      </c>
      <c r="H100" s="104">
        <v>0</v>
      </c>
      <c r="I100" s="82" t="s">
        <v>575</v>
      </c>
      <c r="J100" s="79" t="s">
        <v>152</v>
      </c>
      <c r="K100" s="79" t="s">
        <v>149</v>
      </c>
      <c r="L100" s="79" t="s">
        <v>149</v>
      </c>
      <c r="M100" s="79" t="s">
        <v>149</v>
      </c>
      <c r="N100" s="79" t="s">
        <v>149</v>
      </c>
      <c r="O100" s="78"/>
      <c r="P100" s="79" t="s">
        <v>659</v>
      </c>
    </row>
    <row r="101" spans="1:18" s="7" customFormat="1">
      <c r="A101" s="22" t="s">
        <v>661</v>
      </c>
      <c r="B101" s="79" t="s">
        <v>667</v>
      </c>
      <c r="C101" s="108" t="str">
        <f>"2x"</f>
        <v>2x</v>
      </c>
      <c r="D101" s="86">
        <v>7</v>
      </c>
      <c r="E101" s="86">
        <v>10</v>
      </c>
      <c r="F101" s="86">
        <v>19</v>
      </c>
      <c r="G101" s="83" t="str">
        <f t="shared" si="3"/>
        <v>k3+1</v>
      </c>
      <c r="H101" s="104">
        <v>0</v>
      </c>
      <c r="I101" s="82" t="s">
        <v>588</v>
      </c>
      <c r="J101" s="79" t="s">
        <v>152</v>
      </c>
      <c r="K101" s="79" t="s">
        <v>149</v>
      </c>
      <c r="L101" s="79" t="s">
        <v>149</v>
      </c>
      <c r="M101" s="79" t="s">
        <v>149</v>
      </c>
      <c r="N101" s="79" t="s">
        <v>149</v>
      </c>
      <c r="O101" s="78"/>
      <c r="P101" s="79" t="s">
        <v>659</v>
      </c>
    </row>
    <row r="102" spans="1:18" s="7" customFormat="1">
      <c r="A102" s="22" t="s">
        <v>664</v>
      </c>
      <c r="B102" s="79" t="s">
        <v>667</v>
      </c>
      <c r="C102" s="108" t="str">
        <f>"2x"</f>
        <v>2x</v>
      </c>
      <c r="D102" s="86">
        <v>3</v>
      </c>
      <c r="E102" s="86">
        <v>8</v>
      </c>
      <c r="F102" s="86">
        <v>5</v>
      </c>
      <c r="G102" s="83" t="str">
        <f t="shared" si="3"/>
        <v>k6+1</v>
      </c>
      <c r="H102" s="104">
        <v>0</v>
      </c>
      <c r="I102" s="82" t="s">
        <v>558</v>
      </c>
      <c r="J102" s="79" t="s">
        <v>152</v>
      </c>
      <c r="K102" s="79" t="s">
        <v>149</v>
      </c>
      <c r="L102" s="79" t="s">
        <v>149</v>
      </c>
      <c r="M102" s="79" t="s">
        <v>149</v>
      </c>
      <c r="N102" s="79" t="s">
        <v>149</v>
      </c>
      <c r="O102" s="78"/>
      <c r="P102" s="79" t="s">
        <v>659</v>
      </c>
    </row>
    <row r="103" spans="1:18" s="7" customFormat="1">
      <c r="A103" s="22" t="s">
        <v>665</v>
      </c>
      <c r="B103" s="79" t="s">
        <v>667</v>
      </c>
      <c r="C103" s="108" t="str">
        <f>"2x"</f>
        <v>2x</v>
      </c>
      <c r="D103" s="86">
        <v>12</v>
      </c>
      <c r="E103" s="86">
        <v>15</v>
      </c>
      <c r="F103" s="86">
        <v>9</v>
      </c>
      <c r="G103" s="83" t="str">
        <f t="shared" si="3"/>
        <v>k6-1</v>
      </c>
      <c r="H103" s="104">
        <v>0</v>
      </c>
      <c r="I103" s="82" t="s">
        <v>589</v>
      </c>
      <c r="J103" s="79" t="s">
        <v>152</v>
      </c>
      <c r="K103" s="79" t="s">
        <v>149</v>
      </c>
      <c r="L103" s="79" t="s">
        <v>149</v>
      </c>
      <c r="M103" s="79" t="s">
        <v>149</v>
      </c>
      <c r="N103" s="79" t="s">
        <v>149</v>
      </c>
      <c r="O103" s="78"/>
      <c r="P103" s="79" t="s">
        <v>666</v>
      </c>
    </row>
    <row r="104" spans="1:18" s="148" customFormat="1">
      <c r="A104" s="191" t="s">
        <v>1180</v>
      </c>
      <c r="B104" s="189" t="s">
        <v>667</v>
      </c>
      <c r="C104" s="115" t="str">
        <f>"2x"</f>
        <v>2x</v>
      </c>
      <c r="D104" s="88">
        <v>6</v>
      </c>
      <c r="E104" s="88">
        <v>12</v>
      </c>
      <c r="F104" s="88">
        <v>1</v>
      </c>
      <c r="G104" s="103" t="str">
        <f t="shared" si="3"/>
        <v>k6/2+1</v>
      </c>
      <c r="H104" s="104">
        <v>0</v>
      </c>
      <c r="I104" s="103" t="str">
        <f>IF(SUMIFS(Karakterlap!$L$20:$L$29,Karakterlap!$A$20:$A$29,acélláb)=0,"k6/2+1",IF(VLOOKUP(acélláb,Karakterlap!$A$20:$K$29,9,FALSE),"k6+1","k6/2+1"))</f>
        <v>k6/2+1</v>
      </c>
      <c r="J104" s="189" t="s">
        <v>140</v>
      </c>
      <c r="K104" s="203" t="s">
        <v>149</v>
      </c>
      <c r="L104" s="203" t="s">
        <v>149</v>
      </c>
      <c r="M104" s="203" t="s">
        <v>149</v>
      </c>
      <c r="N104" s="203" t="s">
        <v>149</v>
      </c>
      <c r="O104" s="78" t="s">
        <v>1179</v>
      </c>
      <c r="P104" s="79"/>
    </row>
    <row r="105" spans="1:18">
      <c r="A105" s="22" t="s">
        <v>406</v>
      </c>
      <c r="B105" s="79" t="s">
        <v>540</v>
      </c>
      <c r="C105" s="108" t="str">
        <f>IF(OR(tapasztaltharcos),"2x","1x")</f>
        <v>1x</v>
      </c>
      <c r="D105" s="86">
        <v>8</v>
      </c>
      <c r="E105" s="86">
        <v>14</v>
      </c>
      <c r="F105" s="86">
        <v>14</v>
      </c>
      <c r="G105" s="83" t="str">
        <f t="shared" si="3"/>
        <v>k6+4</v>
      </c>
      <c r="H105" s="104">
        <v>5</v>
      </c>
      <c r="I105" s="82" t="s">
        <v>675</v>
      </c>
      <c r="J105" s="79" t="s">
        <v>140</v>
      </c>
      <c r="K105" s="87">
        <v>1.5</v>
      </c>
      <c r="L105" s="85" t="s">
        <v>596</v>
      </c>
      <c r="M105" s="79" t="s">
        <v>141</v>
      </c>
      <c r="N105" s="79" t="s">
        <v>143</v>
      </c>
      <c r="O105" s="78"/>
      <c r="P105" s="79" t="s">
        <v>674</v>
      </c>
      <c r="R105" s="7"/>
    </row>
    <row r="106" spans="1:18">
      <c r="A106" s="22" t="s">
        <v>457</v>
      </c>
      <c r="B106" s="79" t="s">
        <v>539</v>
      </c>
      <c r="C106" s="108" t="str">
        <f>IF(OR(tapasztaltharcos),"2x","1x")</f>
        <v>1x</v>
      </c>
      <c r="D106" s="86">
        <v>4</v>
      </c>
      <c r="E106" s="86">
        <v>13</v>
      </c>
      <c r="F106" s="86">
        <v>11</v>
      </c>
      <c r="G106" s="83" t="str">
        <f t="shared" si="3"/>
        <v>k6+3</v>
      </c>
      <c r="H106" s="104">
        <v>5</v>
      </c>
      <c r="I106" s="82" t="s">
        <v>582</v>
      </c>
      <c r="J106" s="79" t="s">
        <v>152</v>
      </c>
      <c r="K106" s="87">
        <v>2</v>
      </c>
      <c r="L106" s="85" t="s">
        <v>608</v>
      </c>
      <c r="M106" s="79" t="s">
        <v>141</v>
      </c>
      <c r="N106" s="79" t="s">
        <v>149</v>
      </c>
      <c r="O106" s="78"/>
      <c r="P106" s="79" t="s">
        <v>592</v>
      </c>
      <c r="R106" s="7"/>
    </row>
    <row r="107" spans="1:18">
      <c r="A107" s="22" t="s">
        <v>657</v>
      </c>
      <c r="B107" s="79" t="s">
        <v>540</v>
      </c>
      <c r="C107" s="108" t="str">
        <f>IF(OR(tapasztaltharcos),"2x","1x")</f>
        <v>1x</v>
      </c>
      <c r="D107" s="86">
        <v>10</v>
      </c>
      <c r="E107" s="86">
        <v>18</v>
      </c>
      <c r="F107" s="86">
        <v>5</v>
      </c>
      <c r="G107" s="83" t="str">
        <f t="shared" si="3"/>
        <v>k5</v>
      </c>
      <c r="H107" s="104">
        <v>5</v>
      </c>
      <c r="I107" s="82" t="s">
        <v>581</v>
      </c>
      <c r="J107" s="79" t="s">
        <v>140</v>
      </c>
      <c r="K107" s="87">
        <v>0.2</v>
      </c>
      <c r="L107" s="85" t="s">
        <v>619</v>
      </c>
      <c r="M107" s="79" t="s">
        <v>142</v>
      </c>
      <c r="N107" s="79" t="s">
        <v>142</v>
      </c>
      <c r="O107" s="78"/>
      <c r="P107" s="79" t="s">
        <v>655</v>
      </c>
      <c r="R107" s="7"/>
    </row>
    <row r="108" spans="1:18">
      <c r="A108" s="22" t="s">
        <v>481</v>
      </c>
      <c r="B108" s="79" t="s">
        <v>538</v>
      </c>
      <c r="C108" s="108" t="str">
        <f>IF(OR(tapasztaltharcos),"2x","1x")</f>
        <v>1x</v>
      </c>
      <c r="D108" s="86">
        <v>4</v>
      </c>
      <c r="E108" s="86">
        <v>12</v>
      </c>
      <c r="F108" s="86">
        <v>12</v>
      </c>
      <c r="G108" s="83" t="str">
        <f t="shared" si="3"/>
        <v>k10</v>
      </c>
      <c r="H108" s="104">
        <v>5</v>
      </c>
      <c r="I108" s="82" t="s">
        <v>559</v>
      </c>
      <c r="J108" s="79" t="s">
        <v>140</v>
      </c>
      <c r="K108" s="87">
        <v>2</v>
      </c>
      <c r="L108" s="85" t="s">
        <v>224</v>
      </c>
      <c r="M108" s="79" t="s">
        <v>174</v>
      </c>
      <c r="N108" s="79" t="s">
        <v>156</v>
      </c>
      <c r="O108" s="78"/>
      <c r="P108" s="79" t="s">
        <v>615</v>
      </c>
      <c r="R108" s="7"/>
    </row>
    <row r="109" spans="1:18">
      <c r="A109" s="22" t="s">
        <v>440</v>
      </c>
      <c r="B109" s="79" t="s">
        <v>536</v>
      </c>
      <c r="C109" s="108" t="str">
        <f>"1/3x"</f>
        <v>1/3x</v>
      </c>
      <c r="D109" s="86">
        <v>0</v>
      </c>
      <c r="E109" s="86">
        <v>1</v>
      </c>
      <c r="F109" s="86">
        <v>0</v>
      </c>
      <c r="G109" s="89" t="str">
        <f t="shared" si="3"/>
        <v>---</v>
      </c>
      <c r="H109" s="104">
        <v>5</v>
      </c>
      <c r="I109" s="105" t="s">
        <v>763</v>
      </c>
      <c r="J109" s="79"/>
      <c r="K109" s="87">
        <v>0.6</v>
      </c>
      <c r="L109" s="85" t="s">
        <v>629</v>
      </c>
      <c r="M109" s="79" t="s">
        <v>141</v>
      </c>
      <c r="N109" s="79" t="s">
        <v>149</v>
      </c>
      <c r="O109" s="78"/>
      <c r="P109" s="79" t="s">
        <v>615</v>
      </c>
      <c r="R109" s="7"/>
    </row>
    <row r="110" spans="1:18">
      <c r="A110" s="22" t="s">
        <v>679</v>
      </c>
      <c r="B110" s="79" t="s">
        <v>540</v>
      </c>
      <c r="C110" s="108" t="str">
        <f>IF(OR(AND(gyorsaság&gt;=16,ügyesség&gt;=16),tapasztaltharcos),"2x","1x")</f>
        <v>1x</v>
      </c>
      <c r="D110" s="86">
        <v>9</v>
      </c>
      <c r="E110" s="86">
        <v>9</v>
      </c>
      <c r="F110" s="86">
        <v>2</v>
      </c>
      <c r="G110" s="83" t="str">
        <f t="shared" si="3"/>
        <v>k6+1</v>
      </c>
      <c r="H110" s="104">
        <v>5</v>
      </c>
      <c r="I110" s="82" t="s">
        <v>558</v>
      </c>
      <c r="J110" s="79" t="s">
        <v>140</v>
      </c>
      <c r="K110" s="87">
        <v>0.2</v>
      </c>
      <c r="L110" s="85" t="s">
        <v>596</v>
      </c>
      <c r="M110" s="79" t="s">
        <v>141</v>
      </c>
      <c r="N110" s="79" t="s">
        <v>142</v>
      </c>
      <c r="O110" s="78"/>
      <c r="P110" s="79" t="s">
        <v>674</v>
      </c>
      <c r="R110" s="7"/>
    </row>
    <row r="111" spans="1:18">
      <c r="A111" s="22" t="s">
        <v>407</v>
      </c>
      <c r="B111" s="79" t="s">
        <v>540</v>
      </c>
      <c r="C111" s="108" t="str">
        <f>IF(OR(tapasztaltharcos),"2x","1x")</f>
        <v>1x</v>
      </c>
      <c r="D111" s="86">
        <v>2</v>
      </c>
      <c r="E111" s="86">
        <v>10</v>
      </c>
      <c r="F111" s="86">
        <v>7</v>
      </c>
      <c r="G111" s="83" t="str">
        <f t="shared" si="3"/>
        <v>2k6+2</v>
      </c>
      <c r="H111" s="104">
        <v>5</v>
      </c>
      <c r="I111" s="82" t="s">
        <v>587</v>
      </c>
      <c r="J111" s="79" t="s">
        <v>152</v>
      </c>
      <c r="K111" s="87">
        <v>3.5</v>
      </c>
      <c r="L111" s="85" t="s">
        <v>547</v>
      </c>
      <c r="M111" s="79" t="s">
        <v>141</v>
      </c>
      <c r="N111" s="79" t="s">
        <v>158</v>
      </c>
      <c r="O111" s="78"/>
      <c r="P111" s="79" t="s">
        <v>592</v>
      </c>
      <c r="R111" s="7"/>
    </row>
    <row r="112" spans="1:18">
      <c r="A112" s="22" t="s">
        <v>603</v>
      </c>
      <c r="B112" s="79" t="s">
        <v>540</v>
      </c>
      <c r="C112" s="108" t="str">
        <f>IF(OR(tapasztaltharcos),"2x","1x")</f>
        <v>1x</v>
      </c>
      <c r="D112" s="86">
        <v>7</v>
      </c>
      <c r="E112" s="86">
        <v>16</v>
      </c>
      <c r="F112" s="86">
        <v>14</v>
      </c>
      <c r="G112" s="83" t="str">
        <f t="shared" si="3"/>
        <v>2k6+2</v>
      </c>
      <c r="H112" s="104">
        <v>5</v>
      </c>
      <c r="I112" s="82" t="s">
        <v>587</v>
      </c>
      <c r="J112" s="79" t="s">
        <v>140</v>
      </c>
      <c r="K112" s="87">
        <v>1</v>
      </c>
      <c r="L112" s="85" t="s">
        <v>548</v>
      </c>
      <c r="M112" s="79" t="s">
        <v>142</v>
      </c>
      <c r="N112" s="79" t="s">
        <v>158</v>
      </c>
      <c r="O112" s="78"/>
      <c r="P112" s="79" t="s">
        <v>592</v>
      </c>
      <c r="R112" s="7"/>
    </row>
    <row r="113" spans="1:18">
      <c r="A113" s="22" t="s">
        <v>408</v>
      </c>
      <c r="B113" s="79" t="s">
        <v>540</v>
      </c>
      <c r="C113" s="108" t="str">
        <f>IF(OR(tapasztaltharcos),"2x","1x")</f>
        <v>1x</v>
      </c>
      <c r="D113" s="86">
        <v>4</v>
      </c>
      <c r="E113" s="86">
        <v>13</v>
      </c>
      <c r="F113" s="86">
        <v>12</v>
      </c>
      <c r="G113" s="83" t="str">
        <f t="shared" si="3"/>
        <v>2k6</v>
      </c>
      <c r="H113" s="104">
        <v>5</v>
      </c>
      <c r="I113" s="82" t="s">
        <v>584</v>
      </c>
      <c r="J113" s="79" t="s">
        <v>152</v>
      </c>
      <c r="K113" s="87" t="s">
        <v>142</v>
      </c>
      <c r="L113" s="85" t="s">
        <v>595</v>
      </c>
      <c r="M113" s="79" t="s">
        <v>142</v>
      </c>
      <c r="N113" s="79" t="s">
        <v>158</v>
      </c>
      <c r="O113" s="78"/>
      <c r="P113" s="79" t="s">
        <v>592</v>
      </c>
      <c r="R113" s="7"/>
    </row>
    <row r="114" spans="1:18">
      <c r="A114" s="22" t="s">
        <v>409</v>
      </c>
      <c r="B114" s="79" t="s">
        <v>540</v>
      </c>
      <c r="C114" s="108" t="str">
        <f>IF(OR(tapasztaltharcos),"2x","1x")</f>
        <v>1x</v>
      </c>
      <c r="D114" s="86">
        <v>9</v>
      </c>
      <c r="E114" s="86">
        <v>13</v>
      </c>
      <c r="F114" s="86">
        <v>16</v>
      </c>
      <c r="G114" s="83" t="str">
        <f t="shared" ref="G114:G147" si="4">$I114&amp;IF($J114="","",IF(erő&lt;=VALUE(MID($J114,2,2)),"","+"&amp;TEXT(erő-VALUE(MID($J114,2,2)),"0")))</f>
        <v>k6+3</v>
      </c>
      <c r="H114" s="104">
        <v>5</v>
      </c>
      <c r="I114" s="82" t="s">
        <v>582</v>
      </c>
      <c r="J114" s="79" t="s">
        <v>140</v>
      </c>
      <c r="K114" s="87">
        <v>1</v>
      </c>
      <c r="L114" s="85" t="s">
        <v>619</v>
      </c>
      <c r="M114" s="79" t="s">
        <v>141</v>
      </c>
      <c r="N114" s="79" t="s">
        <v>156</v>
      </c>
      <c r="O114" s="78" t="s">
        <v>644</v>
      </c>
      <c r="P114" s="79" t="s">
        <v>645</v>
      </c>
      <c r="R114" s="7"/>
    </row>
    <row r="115" spans="1:18">
      <c r="A115" s="22" t="s">
        <v>410</v>
      </c>
      <c r="B115" s="79" t="s">
        <v>540</v>
      </c>
      <c r="C115" s="108" t="str">
        <f>IF(OR(tapasztaltharcos),"2x","1x")</f>
        <v>1x</v>
      </c>
      <c r="D115" s="86">
        <v>1</v>
      </c>
      <c r="E115" s="86">
        <v>4</v>
      </c>
      <c r="F115" s="86">
        <v>5</v>
      </c>
      <c r="G115" s="83" t="str">
        <f t="shared" si="4"/>
        <v>k6+5</v>
      </c>
      <c r="H115" s="104">
        <v>5</v>
      </c>
      <c r="I115" s="82" t="s">
        <v>635</v>
      </c>
      <c r="J115" s="79" t="s">
        <v>140</v>
      </c>
      <c r="K115" s="87">
        <v>2.2000000000000002</v>
      </c>
      <c r="L115" s="85" t="s">
        <v>636</v>
      </c>
      <c r="M115" s="79" t="s">
        <v>141</v>
      </c>
      <c r="N115" s="79" t="s">
        <v>151</v>
      </c>
      <c r="O115" s="78" t="s">
        <v>166</v>
      </c>
      <c r="P115" s="79" t="s">
        <v>637</v>
      </c>
      <c r="R115" s="7"/>
    </row>
    <row r="116" spans="1:18">
      <c r="A116" s="22" t="s">
        <v>411</v>
      </c>
      <c r="B116" s="79" t="s">
        <v>540</v>
      </c>
      <c r="C116" s="108" t="str">
        <f>IF(OR(AND(gyorsaság&gt;=16,ügyesség&gt;=16),tapasztaltharcos),"2x","1x")</f>
        <v>1x</v>
      </c>
      <c r="D116" s="86">
        <v>10</v>
      </c>
      <c r="E116" s="86">
        <v>8</v>
      </c>
      <c r="F116" s="86">
        <v>2</v>
      </c>
      <c r="G116" s="83" t="str">
        <f t="shared" si="4"/>
        <v>k6</v>
      </c>
      <c r="H116" s="104">
        <v>5</v>
      </c>
      <c r="I116" s="82" t="s">
        <v>575</v>
      </c>
      <c r="J116" s="79" t="s">
        <v>140</v>
      </c>
      <c r="K116" s="87">
        <v>0.1</v>
      </c>
      <c r="L116" s="85" t="s">
        <v>548</v>
      </c>
      <c r="M116" s="79" t="s">
        <v>141</v>
      </c>
      <c r="N116" s="79" t="s">
        <v>141</v>
      </c>
      <c r="O116" s="78"/>
      <c r="P116" s="79" t="s">
        <v>633</v>
      </c>
      <c r="R116" s="7"/>
    </row>
    <row r="117" spans="1:18">
      <c r="A117" s="22" t="s">
        <v>412</v>
      </c>
      <c r="B117" s="79" t="s">
        <v>540</v>
      </c>
      <c r="C117" s="108" t="str">
        <f>IF(OR(tapasztaltharcos),"2x","1x")</f>
        <v>1x</v>
      </c>
      <c r="D117" s="86">
        <v>7</v>
      </c>
      <c r="E117" s="86">
        <v>16</v>
      </c>
      <c r="F117" s="86">
        <v>14</v>
      </c>
      <c r="G117" s="83" t="str">
        <f t="shared" si="4"/>
        <v>k10</v>
      </c>
      <c r="H117" s="104">
        <v>5</v>
      </c>
      <c r="I117" s="82" t="s">
        <v>559</v>
      </c>
      <c r="J117" s="79" t="s">
        <v>140</v>
      </c>
      <c r="K117" s="87">
        <v>1.4</v>
      </c>
      <c r="L117" s="85" t="s">
        <v>625</v>
      </c>
      <c r="M117" s="79" t="s">
        <v>141</v>
      </c>
      <c r="N117" s="79" t="s">
        <v>151</v>
      </c>
      <c r="O117" s="78"/>
      <c r="P117" s="79" t="s">
        <v>633</v>
      </c>
      <c r="R117" s="7"/>
    </row>
    <row r="118" spans="1:18">
      <c r="A118" s="22" t="s">
        <v>501</v>
      </c>
      <c r="B118" s="79" t="s">
        <v>534</v>
      </c>
      <c r="C118" s="108" t="str">
        <f>IF(OR(AND(gyorsaság&gt;=16,ügyesség&gt;=16),tapasztaltharcos),"2x","1x")</f>
        <v>1x</v>
      </c>
      <c r="D118" s="86">
        <v>8</v>
      </c>
      <c r="E118" s="86">
        <v>12</v>
      </c>
      <c r="F118" s="86">
        <v>19</v>
      </c>
      <c r="G118" s="83" t="str">
        <f t="shared" si="4"/>
        <v>k5</v>
      </c>
      <c r="H118" s="104">
        <v>5</v>
      </c>
      <c r="I118" s="82" t="s">
        <v>581</v>
      </c>
      <c r="J118" s="81" t="s">
        <v>140</v>
      </c>
      <c r="K118" s="91">
        <v>0.3</v>
      </c>
      <c r="L118" s="92" t="s">
        <v>183</v>
      </c>
      <c r="M118" s="79" t="s">
        <v>141</v>
      </c>
      <c r="N118" s="79" t="s">
        <v>149</v>
      </c>
      <c r="O118" s="78" t="s">
        <v>211</v>
      </c>
      <c r="P118" s="79" t="s">
        <v>580</v>
      </c>
      <c r="R118" s="7"/>
    </row>
    <row r="119" spans="1:18">
      <c r="A119" s="22" t="s">
        <v>482</v>
      </c>
      <c r="B119" s="79" t="s">
        <v>538</v>
      </c>
      <c r="C119" s="108" t="str">
        <f>IF(OR(tapasztaltharcos),"2x","1x")</f>
        <v>1x</v>
      </c>
      <c r="D119" s="86">
        <v>4</v>
      </c>
      <c r="E119" s="86">
        <v>12</v>
      </c>
      <c r="F119" s="86">
        <v>12</v>
      </c>
      <c r="G119" s="83" t="str">
        <f t="shared" si="4"/>
        <v>k10</v>
      </c>
      <c r="H119" s="104">
        <v>5</v>
      </c>
      <c r="I119" s="82" t="s">
        <v>559</v>
      </c>
      <c r="J119" s="79" t="s">
        <v>140</v>
      </c>
      <c r="K119" s="87">
        <v>2</v>
      </c>
      <c r="L119" s="85" t="s">
        <v>195</v>
      </c>
      <c r="M119" s="79" t="s">
        <v>142</v>
      </c>
      <c r="N119" s="79" t="s">
        <v>196</v>
      </c>
      <c r="O119" s="78" t="s">
        <v>197</v>
      </c>
      <c r="P119" s="79" t="s">
        <v>570</v>
      </c>
      <c r="R119" s="7"/>
    </row>
    <row r="120" spans="1:18">
      <c r="A120" s="22" t="s">
        <v>529</v>
      </c>
      <c r="B120" s="79" t="s">
        <v>537</v>
      </c>
      <c r="C120" s="108" t="str">
        <f>IF(OR(tapasztaltharcos),"1x","1/2x")</f>
        <v>1/2x</v>
      </c>
      <c r="D120" s="86">
        <v>0</v>
      </c>
      <c r="E120" s="88">
        <v>5</v>
      </c>
      <c r="F120" s="86">
        <v>50</v>
      </c>
      <c r="G120" s="83" t="str">
        <f t="shared" si="4"/>
        <v>k6</v>
      </c>
      <c r="H120" s="104">
        <v>0</v>
      </c>
      <c r="I120" s="82" t="s">
        <v>575</v>
      </c>
      <c r="J120" s="79" t="s">
        <v>140</v>
      </c>
      <c r="K120" s="87">
        <v>6</v>
      </c>
      <c r="L120" s="85" t="s">
        <v>544</v>
      </c>
      <c r="M120" s="79" t="s">
        <v>141</v>
      </c>
      <c r="N120" s="79" t="s">
        <v>220</v>
      </c>
      <c r="O120" s="78"/>
      <c r="P120" s="79" t="s">
        <v>615</v>
      </c>
      <c r="R120" s="7"/>
    </row>
    <row r="121" spans="1:18">
      <c r="A121" s="22" t="s">
        <v>413</v>
      </c>
      <c r="B121" s="79" t="s">
        <v>540</v>
      </c>
      <c r="C121" s="108" t="str">
        <f>IF(OR(AND(gyorsaság&gt;=16,ügyesség&gt;=16),tapasztaltharcos),"2x","1x")</f>
        <v>1x</v>
      </c>
      <c r="D121" s="86">
        <v>10</v>
      </c>
      <c r="E121" s="86">
        <v>9</v>
      </c>
      <c r="F121" s="86">
        <v>1</v>
      </c>
      <c r="G121" s="83" t="str">
        <f t="shared" si="4"/>
        <v>k6</v>
      </c>
      <c r="H121" s="104">
        <v>5</v>
      </c>
      <c r="I121" s="82" t="s">
        <v>575</v>
      </c>
      <c r="J121" s="79" t="s">
        <v>140</v>
      </c>
      <c r="K121" s="87">
        <v>0.3</v>
      </c>
      <c r="L121" s="85" t="s">
        <v>167</v>
      </c>
      <c r="M121" s="79" t="s">
        <v>141</v>
      </c>
      <c r="N121" s="79" t="s">
        <v>142</v>
      </c>
      <c r="O121" s="78" t="s">
        <v>168</v>
      </c>
      <c r="P121" s="79" t="s">
        <v>570</v>
      </c>
      <c r="R121" s="7"/>
    </row>
    <row r="122" spans="1:18">
      <c r="A122" s="22" t="s">
        <v>521</v>
      </c>
      <c r="B122" s="79" t="s">
        <v>535</v>
      </c>
      <c r="C122" s="108" t="str">
        <f>"1/3x"</f>
        <v>1/3x</v>
      </c>
      <c r="D122" s="86">
        <v>0</v>
      </c>
      <c r="E122" s="86">
        <v>15</v>
      </c>
      <c r="F122" s="86">
        <v>60</v>
      </c>
      <c r="G122" s="83" t="str">
        <f t="shared" si="4"/>
        <v>k10+2</v>
      </c>
      <c r="H122" s="104">
        <v>5</v>
      </c>
      <c r="I122" s="82" t="s">
        <v>600</v>
      </c>
      <c r="J122" s="79"/>
      <c r="K122" s="87">
        <v>6</v>
      </c>
      <c r="L122" s="85" t="s">
        <v>626</v>
      </c>
      <c r="M122" s="79" t="s">
        <v>142</v>
      </c>
      <c r="N122" s="79" t="s">
        <v>141</v>
      </c>
      <c r="O122" s="78"/>
      <c r="P122" s="79" t="s">
        <v>615</v>
      </c>
      <c r="R122" s="7"/>
    </row>
    <row r="123" spans="1:18">
      <c r="A123" s="22" t="s">
        <v>483</v>
      </c>
      <c r="B123" s="79" t="s">
        <v>538</v>
      </c>
      <c r="C123" s="108" t="str">
        <f>"1/3x"</f>
        <v>1/3x</v>
      </c>
      <c r="D123" s="86">
        <v>0</v>
      </c>
      <c r="E123" s="86">
        <v>16</v>
      </c>
      <c r="F123" s="86">
        <v>0</v>
      </c>
      <c r="G123" s="83" t="str">
        <f t="shared" si="4"/>
        <v>2k10</v>
      </c>
      <c r="H123" s="104">
        <v>5</v>
      </c>
      <c r="I123" s="82" t="s">
        <v>618</v>
      </c>
      <c r="J123" s="79"/>
      <c r="K123" s="87">
        <v>5</v>
      </c>
      <c r="L123" s="85" t="s">
        <v>594</v>
      </c>
      <c r="M123" s="79" t="s">
        <v>141</v>
      </c>
      <c r="N123" s="79" t="s">
        <v>156</v>
      </c>
      <c r="O123" s="78"/>
      <c r="P123" s="79" t="s">
        <v>615</v>
      </c>
      <c r="R123" s="7"/>
    </row>
    <row r="124" spans="1:18">
      <c r="A124" s="22" t="s">
        <v>502</v>
      </c>
      <c r="B124" s="79" t="s">
        <v>534</v>
      </c>
      <c r="C124" s="108" t="str">
        <f>IF(OR(AND(gyorsaság&gt;=16,ügyesség&gt;=16),tapasztaltharcos),"2x","1x")</f>
        <v>1x</v>
      </c>
      <c r="D124" s="86">
        <v>9</v>
      </c>
      <c r="E124" s="86">
        <v>6</v>
      </c>
      <c r="F124" s="86">
        <v>4</v>
      </c>
      <c r="G124" s="83" t="str">
        <f t="shared" si="4"/>
        <v>k3</v>
      </c>
      <c r="H124" s="104">
        <v>5</v>
      </c>
      <c r="I124" s="89" t="s">
        <v>576</v>
      </c>
      <c r="J124" s="79" t="s">
        <v>140</v>
      </c>
      <c r="K124" s="87">
        <v>0.2</v>
      </c>
      <c r="L124" s="85" t="s">
        <v>183</v>
      </c>
      <c r="M124" s="79" t="s">
        <v>141</v>
      </c>
      <c r="N124" s="79" t="s">
        <v>149</v>
      </c>
      <c r="O124" s="78" t="s">
        <v>212</v>
      </c>
      <c r="P124" s="79" t="s">
        <v>590</v>
      </c>
      <c r="R124" s="7"/>
    </row>
    <row r="125" spans="1:18">
      <c r="A125" s="22" t="s">
        <v>414</v>
      </c>
      <c r="B125" s="79" t="s">
        <v>540</v>
      </c>
      <c r="C125" s="108" t="str">
        <f>IF(OR(tapasztaltharcos),"2x","1x")</f>
        <v>1x</v>
      </c>
      <c r="D125" s="86">
        <v>7</v>
      </c>
      <c r="E125" s="86">
        <v>15</v>
      </c>
      <c r="F125" s="86">
        <v>14</v>
      </c>
      <c r="G125" s="83" t="str">
        <f t="shared" si="4"/>
        <v>k10</v>
      </c>
      <c r="H125" s="104">
        <v>5</v>
      </c>
      <c r="I125" s="82" t="s">
        <v>559</v>
      </c>
      <c r="J125" s="79" t="s">
        <v>140</v>
      </c>
      <c r="K125" s="87">
        <v>1.2</v>
      </c>
      <c r="L125" s="85" t="s">
        <v>573</v>
      </c>
      <c r="M125" s="79" t="s">
        <v>141</v>
      </c>
      <c r="N125" s="79" t="s">
        <v>151</v>
      </c>
      <c r="O125" s="78"/>
      <c r="P125" s="79" t="s">
        <v>570</v>
      </c>
      <c r="R125" s="7"/>
    </row>
    <row r="126" spans="1:18">
      <c r="A126" s="22" t="s">
        <v>522</v>
      </c>
      <c r="B126" s="79" t="s">
        <v>535</v>
      </c>
      <c r="C126" s="109" t="str">
        <f>"1x"</f>
        <v>1x</v>
      </c>
      <c r="D126" s="86">
        <v>2</v>
      </c>
      <c r="E126" s="86">
        <v>17</v>
      </c>
      <c r="F126" s="86">
        <v>50</v>
      </c>
      <c r="G126" s="83" t="str">
        <f t="shared" si="4"/>
        <v>k6+1</v>
      </c>
      <c r="H126" s="104">
        <v>5</v>
      </c>
      <c r="I126" s="82" t="s">
        <v>558</v>
      </c>
      <c r="J126" s="189"/>
      <c r="K126" s="87">
        <v>3.5</v>
      </c>
      <c r="L126" s="85" t="s">
        <v>577</v>
      </c>
      <c r="M126" s="79" t="s">
        <v>142</v>
      </c>
      <c r="N126" s="79" t="s">
        <v>141</v>
      </c>
      <c r="O126" s="78" t="s">
        <v>219</v>
      </c>
      <c r="P126" s="79" t="s">
        <v>580</v>
      </c>
      <c r="R126" s="7"/>
    </row>
    <row r="127" spans="1:18" s="7" customFormat="1">
      <c r="A127" s="22" t="s">
        <v>670</v>
      </c>
      <c r="B127" s="79" t="s">
        <v>540</v>
      </c>
      <c r="C127" s="108" t="str">
        <f>IF(OR(tapasztaltharcos),"2x","1x")</f>
        <v>1x</v>
      </c>
      <c r="D127" s="86">
        <v>7</v>
      </c>
      <c r="E127" s="86">
        <v>12</v>
      </c>
      <c r="F127" s="86">
        <v>11</v>
      </c>
      <c r="G127" s="83" t="str">
        <f t="shared" si="4"/>
        <v>k6+1</v>
      </c>
      <c r="H127" s="104">
        <v>5</v>
      </c>
      <c r="I127" s="82" t="s">
        <v>558</v>
      </c>
      <c r="J127" s="81" t="s">
        <v>140</v>
      </c>
      <c r="K127" s="91">
        <v>1</v>
      </c>
      <c r="L127" s="92" t="s">
        <v>549</v>
      </c>
      <c r="M127" s="79" t="s">
        <v>141</v>
      </c>
      <c r="N127" s="79" t="s">
        <v>159</v>
      </c>
      <c r="O127" s="78"/>
      <c r="P127" s="79" t="s">
        <v>666</v>
      </c>
    </row>
    <row r="128" spans="1:18">
      <c r="A128" s="22" t="s">
        <v>415</v>
      </c>
      <c r="B128" s="79" t="s">
        <v>540</v>
      </c>
      <c r="C128" s="108" t="str">
        <f>IF(OR(tapasztaltharcos),"1x","1/2x")</f>
        <v>1/2x</v>
      </c>
      <c r="D128" s="90">
        <v>0</v>
      </c>
      <c r="E128" s="90">
        <v>7</v>
      </c>
      <c r="F128" s="90">
        <v>1</v>
      </c>
      <c r="G128" s="83" t="str">
        <f t="shared" si="4"/>
        <v>3k6+1</v>
      </c>
      <c r="H128" s="104">
        <v>5</v>
      </c>
      <c r="I128" s="80" t="s">
        <v>560</v>
      </c>
      <c r="J128" s="79" t="s">
        <v>152</v>
      </c>
      <c r="K128" s="87">
        <v>7</v>
      </c>
      <c r="L128" s="85" t="s">
        <v>568</v>
      </c>
      <c r="M128" s="79" t="s">
        <v>142</v>
      </c>
      <c r="N128" s="79" t="s">
        <v>169</v>
      </c>
      <c r="O128" s="78" t="s">
        <v>555</v>
      </c>
      <c r="P128" s="79" t="s">
        <v>580</v>
      </c>
      <c r="R128" s="7"/>
    </row>
    <row r="129" spans="1:18">
      <c r="A129" s="22" t="s">
        <v>458</v>
      </c>
      <c r="B129" s="79" t="s">
        <v>539</v>
      </c>
      <c r="C129" s="108" t="str">
        <f>IF(OR(AND(gyorsaság&gt;=16,ügyesség&gt;=16),tapasztaltharcos),"2x","1x")</f>
        <v>1x</v>
      </c>
      <c r="D129" s="86">
        <v>9</v>
      </c>
      <c r="E129" s="86">
        <v>19</v>
      </c>
      <c r="F129" s="86">
        <v>13</v>
      </c>
      <c r="G129" s="83" t="str">
        <f t="shared" si="4"/>
        <v>k6+2</v>
      </c>
      <c r="H129" s="104">
        <v>5</v>
      </c>
      <c r="I129" s="82" t="s">
        <v>557</v>
      </c>
      <c r="J129" s="79" t="s">
        <v>152</v>
      </c>
      <c r="K129" s="87">
        <v>0.5</v>
      </c>
      <c r="L129" s="85" t="s">
        <v>550</v>
      </c>
      <c r="M129" s="79" t="s">
        <v>141</v>
      </c>
      <c r="N129" s="79" t="s">
        <v>149</v>
      </c>
      <c r="O129" s="78"/>
      <c r="P129" s="79" t="s">
        <v>655</v>
      </c>
      <c r="R129" s="7"/>
    </row>
    <row r="130" spans="1:18">
      <c r="A130" s="22" t="s">
        <v>484</v>
      </c>
      <c r="B130" s="79" t="s">
        <v>538</v>
      </c>
      <c r="C130" s="108" t="str">
        <f>IF(OR(tapasztaltharcos),"2x","1x")</f>
        <v>1x</v>
      </c>
      <c r="D130" s="86">
        <v>4</v>
      </c>
      <c r="E130" s="86">
        <v>12</v>
      </c>
      <c r="F130" s="86">
        <v>13</v>
      </c>
      <c r="G130" s="83" t="str">
        <f t="shared" si="4"/>
        <v>k10</v>
      </c>
      <c r="H130" s="104">
        <v>5</v>
      </c>
      <c r="I130" s="82" t="s">
        <v>559</v>
      </c>
      <c r="J130" s="79" t="s">
        <v>140</v>
      </c>
      <c r="K130" s="87">
        <v>2</v>
      </c>
      <c r="L130" s="85" t="s">
        <v>549</v>
      </c>
      <c r="M130" s="79" t="s">
        <v>142</v>
      </c>
      <c r="N130" s="79" t="s">
        <v>142</v>
      </c>
      <c r="O130" s="78"/>
      <c r="P130" s="79" t="s">
        <v>677</v>
      </c>
      <c r="R130" s="7"/>
    </row>
    <row r="131" spans="1:18">
      <c r="A131" s="22" t="s">
        <v>416</v>
      </c>
      <c r="B131" s="79" t="s">
        <v>540</v>
      </c>
      <c r="C131" s="108" t="str">
        <f>IF(OR(tapasztaltharcos),"2x","1x")</f>
        <v>1x</v>
      </c>
      <c r="D131" s="86">
        <v>3</v>
      </c>
      <c r="E131" s="86">
        <v>10</v>
      </c>
      <c r="F131" s="86">
        <v>10</v>
      </c>
      <c r="G131" s="83" t="str">
        <f t="shared" si="4"/>
        <v>k6</v>
      </c>
      <c r="H131" s="104">
        <v>5</v>
      </c>
      <c r="I131" s="82" t="s">
        <v>575</v>
      </c>
      <c r="J131" s="79" t="s">
        <v>140</v>
      </c>
      <c r="K131" s="87">
        <v>0.2</v>
      </c>
      <c r="L131" s="85" t="s">
        <v>550</v>
      </c>
      <c r="M131" s="79" t="s">
        <v>142</v>
      </c>
      <c r="N131" s="79" t="s">
        <v>142</v>
      </c>
      <c r="O131" s="78"/>
      <c r="P131" s="79" t="s">
        <v>633</v>
      </c>
      <c r="R131" s="7"/>
    </row>
    <row r="132" spans="1:18">
      <c r="A132" s="22" t="s">
        <v>503</v>
      </c>
      <c r="B132" s="79" t="s">
        <v>534</v>
      </c>
      <c r="C132" s="108" t="s">
        <v>574</v>
      </c>
      <c r="D132" s="86">
        <v>3</v>
      </c>
      <c r="E132" s="86">
        <v>6</v>
      </c>
      <c r="F132" s="86">
        <v>0</v>
      </c>
      <c r="G132" s="83" t="str">
        <f t="shared" si="4"/>
        <v>k2</v>
      </c>
      <c r="H132" s="104">
        <v>5</v>
      </c>
      <c r="I132" s="82" t="s">
        <v>630</v>
      </c>
      <c r="J132" s="79" t="s">
        <v>140</v>
      </c>
      <c r="K132" s="87">
        <v>0.6</v>
      </c>
      <c r="L132" s="85" t="s">
        <v>223</v>
      </c>
      <c r="M132" s="79" t="s">
        <v>141</v>
      </c>
      <c r="N132" s="79" t="s">
        <v>149</v>
      </c>
      <c r="O132" s="78"/>
      <c r="P132" s="79" t="s">
        <v>615</v>
      </c>
      <c r="R132" s="7"/>
    </row>
    <row r="133" spans="1:18">
      <c r="A133" s="22" t="s">
        <v>485</v>
      </c>
      <c r="B133" s="79" t="s">
        <v>538</v>
      </c>
      <c r="C133" s="108" t="str">
        <f>IF(OR(tapasztaltharcos),"1x","1/2x")</f>
        <v>1/2x</v>
      </c>
      <c r="D133" s="86">
        <v>2</v>
      </c>
      <c r="E133" s="86">
        <v>8</v>
      </c>
      <c r="F133" s="86">
        <v>10</v>
      </c>
      <c r="G133" s="83" t="str">
        <f t="shared" si="4"/>
        <v>2k10+2</v>
      </c>
      <c r="H133" s="104">
        <v>5</v>
      </c>
      <c r="I133" s="82" t="s">
        <v>678</v>
      </c>
      <c r="J133" s="79" t="s">
        <v>140</v>
      </c>
      <c r="K133" s="87">
        <v>5</v>
      </c>
      <c r="L133" s="85" t="s">
        <v>547</v>
      </c>
      <c r="M133" s="79" t="s">
        <v>142</v>
      </c>
      <c r="N133" s="79" t="s">
        <v>158</v>
      </c>
      <c r="O133" s="78"/>
      <c r="P133" s="79" t="s">
        <v>677</v>
      </c>
      <c r="R133" s="7"/>
    </row>
    <row r="134" spans="1:18">
      <c r="A134" s="22" t="s">
        <v>504</v>
      </c>
      <c r="B134" s="79" t="s">
        <v>534</v>
      </c>
      <c r="C134" s="108" t="str">
        <f>"2x"</f>
        <v>2x</v>
      </c>
      <c r="D134" s="86">
        <v>10</v>
      </c>
      <c r="E134" s="86">
        <v>4</v>
      </c>
      <c r="F134" s="86">
        <v>1</v>
      </c>
      <c r="G134" s="83" t="str">
        <f t="shared" si="4"/>
        <v>k2</v>
      </c>
      <c r="H134" s="104">
        <v>0</v>
      </c>
      <c r="I134" s="103" t="str">
        <f>IF(SUMIFS(Karakterlap!$L$20:$L$29,Karakterlap!$A$20:$A$29,ököl)=0,"k2",IF(VLOOKUP(ököl,Karakterlap!$A$20:$K$29,9,FALSE),"k6","k2"))</f>
        <v>k2</v>
      </c>
      <c r="J134" s="79" t="s">
        <v>152</v>
      </c>
      <c r="K134" s="93" t="s">
        <v>149</v>
      </c>
      <c r="L134" s="85" t="s">
        <v>149</v>
      </c>
      <c r="M134" s="79" t="s">
        <v>149</v>
      </c>
      <c r="N134" s="79" t="s">
        <v>149</v>
      </c>
      <c r="O134" s="78"/>
      <c r="P134" s="79" t="s">
        <v>615</v>
      </c>
      <c r="R134" s="7"/>
    </row>
    <row r="135" spans="1:18" s="148" customFormat="1">
      <c r="A135" s="191" t="s">
        <v>1127</v>
      </c>
      <c r="B135" s="189" t="s">
        <v>534</v>
      </c>
      <c r="C135" s="115" t="str">
        <f>"2x"</f>
        <v>2x</v>
      </c>
      <c r="D135" s="88">
        <v>10</v>
      </c>
      <c r="E135" s="88">
        <v>4</v>
      </c>
      <c r="F135" s="88">
        <v>1</v>
      </c>
      <c r="G135" s="103" t="str">
        <f t="shared" si="4"/>
        <v>k6+2</v>
      </c>
      <c r="H135" s="104">
        <v>0</v>
      </c>
      <c r="I135" s="89" t="s">
        <v>557</v>
      </c>
      <c r="J135" s="189" t="s">
        <v>152</v>
      </c>
      <c r="K135" s="196" t="s">
        <v>149</v>
      </c>
      <c r="L135" s="190" t="s">
        <v>149</v>
      </c>
      <c r="M135" s="189" t="s">
        <v>149</v>
      </c>
      <c r="N135" s="189" t="s">
        <v>149</v>
      </c>
      <c r="O135" s="78"/>
      <c r="P135" s="79"/>
    </row>
    <row r="136" spans="1:18">
      <c r="A136" s="22" t="s">
        <v>417</v>
      </c>
      <c r="B136" s="79" t="s">
        <v>540</v>
      </c>
      <c r="C136" s="108" t="str">
        <f>IF(OR(AND(gyorsaság&gt;=16,ügyesség&gt;=16),tapasztaltharcos),"2x","1x")</f>
        <v>1x</v>
      </c>
      <c r="D136" s="86">
        <v>10</v>
      </c>
      <c r="E136" s="86">
        <v>9</v>
      </c>
      <c r="F136" s="86">
        <v>2</v>
      </c>
      <c r="G136" s="83" t="str">
        <f t="shared" si="4"/>
        <v>k6</v>
      </c>
      <c r="H136" s="104">
        <v>5</v>
      </c>
      <c r="I136" s="82" t="s">
        <v>575</v>
      </c>
      <c r="J136" s="79" t="s">
        <v>140</v>
      </c>
      <c r="K136" s="87">
        <v>0.2</v>
      </c>
      <c r="L136" s="85" t="s">
        <v>170</v>
      </c>
      <c r="M136" s="79" t="s">
        <v>141</v>
      </c>
      <c r="N136" s="79" t="s">
        <v>142</v>
      </c>
      <c r="O136" s="78"/>
      <c r="P136" s="79" t="s">
        <v>633</v>
      </c>
      <c r="R136" s="7"/>
    </row>
    <row r="137" spans="1:18">
      <c r="A137" s="22" t="s">
        <v>441</v>
      </c>
      <c r="B137" s="79" t="s">
        <v>536</v>
      </c>
      <c r="C137" s="109" t="str">
        <f>"1x"</f>
        <v>1x</v>
      </c>
      <c r="D137" s="86">
        <v>9</v>
      </c>
      <c r="E137" s="86">
        <v>12</v>
      </c>
      <c r="F137" s="86">
        <v>3</v>
      </c>
      <c r="G137" s="83" t="str">
        <f t="shared" si="4"/>
        <v>k6</v>
      </c>
      <c r="H137" s="104">
        <v>5</v>
      </c>
      <c r="I137" s="82" t="s">
        <v>575</v>
      </c>
      <c r="J137" s="79" t="s">
        <v>140</v>
      </c>
      <c r="K137" s="87">
        <v>1.2</v>
      </c>
      <c r="L137" s="85" t="s">
        <v>543</v>
      </c>
      <c r="M137" s="79" t="s">
        <v>141</v>
      </c>
      <c r="N137" s="79" t="s">
        <v>142</v>
      </c>
      <c r="O137" s="78" t="s">
        <v>175</v>
      </c>
      <c r="P137" s="79" t="s">
        <v>633</v>
      </c>
      <c r="R137" s="7"/>
    </row>
    <row r="138" spans="1:18">
      <c r="A138" s="22" t="s">
        <v>418</v>
      </c>
      <c r="B138" s="79" t="s">
        <v>540</v>
      </c>
      <c r="C138" s="108" t="str">
        <f>IF(OR(tapasztaltharcos),"1x","1/2x")</f>
        <v>1/2x</v>
      </c>
      <c r="D138" s="86">
        <v>0</v>
      </c>
      <c r="E138" s="86">
        <v>6</v>
      </c>
      <c r="F138" s="86">
        <v>2</v>
      </c>
      <c r="G138" s="83" t="str">
        <f t="shared" si="4"/>
        <v>3K6+2</v>
      </c>
      <c r="H138" s="104">
        <v>5</v>
      </c>
      <c r="I138" s="82" t="s">
        <v>225</v>
      </c>
      <c r="J138" s="79" t="s">
        <v>152</v>
      </c>
      <c r="K138" s="87">
        <v>7</v>
      </c>
      <c r="L138" s="85" t="s">
        <v>596</v>
      </c>
      <c r="M138" s="79" t="s">
        <v>142</v>
      </c>
      <c r="N138" s="79" t="s">
        <v>169</v>
      </c>
      <c r="O138" s="78"/>
      <c r="P138" s="79" t="s">
        <v>592</v>
      </c>
      <c r="R138" s="7"/>
    </row>
    <row r="139" spans="1:18">
      <c r="A139" s="22" t="s">
        <v>486</v>
      </c>
      <c r="B139" s="79" t="s">
        <v>538</v>
      </c>
      <c r="C139" s="108" t="str">
        <f>IF(OR(tapasztaltharcos),"2x","1x")</f>
        <v>1x</v>
      </c>
      <c r="D139" s="86">
        <v>4</v>
      </c>
      <c r="E139" s="86">
        <v>14</v>
      </c>
      <c r="F139" s="86">
        <v>14</v>
      </c>
      <c r="G139" s="83" t="str">
        <f t="shared" si="4"/>
        <v>k6+3</v>
      </c>
      <c r="H139" s="104">
        <v>5</v>
      </c>
      <c r="I139" s="82" t="s">
        <v>582</v>
      </c>
      <c r="J139" s="79" t="s">
        <v>140</v>
      </c>
      <c r="K139" s="87">
        <v>2.5</v>
      </c>
      <c r="L139" s="85" t="s">
        <v>585</v>
      </c>
      <c r="M139" s="79" t="s">
        <v>142</v>
      </c>
      <c r="N139" s="79" t="s">
        <v>198</v>
      </c>
      <c r="O139" s="78"/>
      <c r="P139" s="79" t="s">
        <v>570</v>
      </c>
      <c r="R139" s="7"/>
    </row>
    <row r="140" spans="1:18">
      <c r="A140" s="22" t="s">
        <v>523</v>
      </c>
      <c r="B140" s="79" t="s">
        <v>535</v>
      </c>
      <c r="C140" s="108" t="str">
        <f>IF(AND(gyorsaság&gt;=14,ügyesség&gt;=14),"2x","1x")</f>
        <v>1x</v>
      </c>
      <c r="D140" s="86">
        <v>2</v>
      </c>
      <c r="E140" s="86">
        <v>1</v>
      </c>
      <c r="F140" s="86">
        <v>50</v>
      </c>
      <c r="G140" s="83" t="str">
        <f t="shared" si="4"/>
        <v>k5</v>
      </c>
      <c r="H140" s="104">
        <v>5</v>
      </c>
      <c r="I140" s="82" t="s">
        <v>581</v>
      </c>
      <c r="J140" s="79" t="s">
        <v>140</v>
      </c>
      <c r="K140" s="87">
        <v>0.1</v>
      </c>
      <c r="L140" s="85" t="s">
        <v>607</v>
      </c>
      <c r="M140" s="79" t="s">
        <v>142</v>
      </c>
      <c r="N140" s="79" t="s">
        <v>149</v>
      </c>
      <c r="O140" s="78"/>
      <c r="P140" s="79" t="s">
        <v>615</v>
      </c>
      <c r="R140" s="7"/>
    </row>
    <row r="141" spans="1:18">
      <c r="A141" s="22" t="s">
        <v>487</v>
      </c>
      <c r="B141" s="79" t="s">
        <v>538</v>
      </c>
      <c r="C141" s="108" t="str">
        <f>IF(OR(tapasztaltharcos),"2x","1x")</f>
        <v>1x</v>
      </c>
      <c r="D141" s="86">
        <v>4</v>
      </c>
      <c r="E141" s="86">
        <v>13</v>
      </c>
      <c r="F141" s="86">
        <v>12</v>
      </c>
      <c r="G141" s="83" t="str">
        <f t="shared" si="4"/>
        <v>k6+3</v>
      </c>
      <c r="H141" s="104">
        <v>5</v>
      </c>
      <c r="I141" s="82" t="s">
        <v>582</v>
      </c>
      <c r="J141" s="79" t="s">
        <v>140</v>
      </c>
      <c r="K141" s="87">
        <v>2</v>
      </c>
      <c r="L141" s="85" t="s">
        <v>549</v>
      </c>
      <c r="M141" s="79" t="s">
        <v>142</v>
      </c>
      <c r="N141" s="79" t="s">
        <v>156</v>
      </c>
      <c r="O141" s="78" t="s">
        <v>199</v>
      </c>
      <c r="P141" s="79" t="s">
        <v>677</v>
      </c>
      <c r="R141" s="7"/>
    </row>
    <row r="142" spans="1:18">
      <c r="A142" s="22" t="s">
        <v>530</v>
      </c>
      <c r="B142" s="79" t="s">
        <v>537</v>
      </c>
      <c r="C142" s="108" t="str">
        <f>"0x"</f>
        <v>0x</v>
      </c>
      <c r="D142" s="86">
        <v>0</v>
      </c>
      <c r="E142" s="86">
        <v>0</v>
      </c>
      <c r="F142" s="86">
        <v>40</v>
      </c>
      <c r="G142" s="85" t="str">
        <f t="shared" si="4"/>
        <v>---</v>
      </c>
      <c r="H142" s="104">
        <v>0</v>
      </c>
      <c r="I142" s="105" t="s">
        <v>763</v>
      </c>
      <c r="J142" s="85"/>
      <c r="K142" s="87">
        <v>12</v>
      </c>
      <c r="L142" s="85" t="s">
        <v>625</v>
      </c>
      <c r="M142" s="79" t="s">
        <v>221</v>
      </c>
      <c r="N142" s="79" t="s">
        <v>149</v>
      </c>
      <c r="O142" s="78" t="s">
        <v>222</v>
      </c>
      <c r="P142" s="79" t="s">
        <v>648</v>
      </c>
      <c r="Q142" s="79"/>
      <c r="R142" s="7"/>
    </row>
    <row r="143" spans="1:18">
      <c r="A143" s="22" t="s">
        <v>488</v>
      </c>
      <c r="B143" s="79" t="s">
        <v>538</v>
      </c>
      <c r="C143" s="108" t="str">
        <f>IF(OR(tapasztaltharcos),"2x","1x")</f>
        <v>1x</v>
      </c>
      <c r="D143" s="86">
        <v>4</v>
      </c>
      <c r="E143" s="86">
        <v>14</v>
      </c>
      <c r="F143" s="86">
        <v>10</v>
      </c>
      <c r="G143" s="83" t="str">
        <f t="shared" si="4"/>
        <v>k10</v>
      </c>
      <c r="H143" s="104">
        <v>5</v>
      </c>
      <c r="I143" s="82" t="s">
        <v>559</v>
      </c>
      <c r="J143" s="79" t="s">
        <v>140</v>
      </c>
      <c r="K143" s="87">
        <v>2</v>
      </c>
      <c r="L143" s="85" t="s">
        <v>543</v>
      </c>
      <c r="M143" s="79" t="s">
        <v>142</v>
      </c>
      <c r="N143" s="79" t="s">
        <v>142</v>
      </c>
      <c r="O143" s="78" t="s">
        <v>200</v>
      </c>
      <c r="P143" s="79" t="s">
        <v>633</v>
      </c>
      <c r="R143" s="7"/>
    </row>
    <row r="144" spans="1:18">
      <c r="A144" s="22" t="s">
        <v>419</v>
      </c>
      <c r="B144" s="79" t="s">
        <v>540</v>
      </c>
      <c r="C144" s="108" t="str">
        <f>IF(OR(tapasztaltharcos),"2x","1x")</f>
        <v>1x</v>
      </c>
      <c r="D144" s="86">
        <v>7</v>
      </c>
      <c r="E144" s="86">
        <v>16</v>
      </c>
      <c r="F144" s="86">
        <v>15</v>
      </c>
      <c r="G144" s="83" t="str">
        <f t="shared" si="4"/>
        <v>k10</v>
      </c>
      <c r="H144" s="104">
        <v>5</v>
      </c>
      <c r="I144" s="82" t="s">
        <v>559</v>
      </c>
      <c r="J144" s="79" t="s">
        <v>140</v>
      </c>
      <c r="K144" s="87">
        <v>1.2</v>
      </c>
      <c r="L144" s="85" t="s">
        <v>548</v>
      </c>
      <c r="M144" s="79" t="s">
        <v>141</v>
      </c>
      <c r="N144" s="79" t="s">
        <v>151</v>
      </c>
      <c r="O144" s="78"/>
      <c r="P144" s="79" t="s">
        <v>633</v>
      </c>
      <c r="R144" s="7"/>
    </row>
    <row r="145" spans="1:18">
      <c r="A145" s="22" t="s">
        <v>420</v>
      </c>
      <c r="B145" s="79" t="s">
        <v>540</v>
      </c>
      <c r="C145" s="108" t="str">
        <f>IF(OR(AND(gyorsaság&gt;=16,ügyesség&gt;=16),tapasztaltharcos),"2x","1x")</f>
        <v>1x</v>
      </c>
      <c r="D145" s="86">
        <v>12</v>
      </c>
      <c r="E145" s="86">
        <v>6</v>
      </c>
      <c r="F145" s="86">
        <v>4</v>
      </c>
      <c r="G145" s="83" t="str">
        <f t="shared" si="4"/>
        <v>k6</v>
      </c>
      <c r="H145" s="104">
        <v>5</v>
      </c>
      <c r="I145" s="82" t="s">
        <v>575</v>
      </c>
      <c r="J145" s="79" t="s">
        <v>140</v>
      </c>
      <c r="K145" s="87">
        <v>0.5</v>
      </c>
      <c r="L145" s="85" t="s">
        <v>549</v>
      </c>
      <c r="M145" s="79" t="s">
        <v>141</v>
      </c>
      <c r="N145" s="79" t="s">
        <v>142</v>
      </c>
      <c r="O145" s="78"/>
      <c r="P145" s="79" t="s">
        <v>674</v>
      </c>
      <c r="R145" s="7"/>
    </row>
    <row r="146" spans="1:18">
      <c r="A146" s="22" t="s">
        <v>421</v>
      </c>
      <c r="B146" s="79" t="s">
        <v>540</v>
      </c>
      <c r="C146" s="108" t="str">
        <f>IF(OR(AND(gyorsaság&gt;=16,ügyesség&gt;=16),tapasztaltharcos),"2x","1x")</f>
        <v>1x</v>
      </c>
      <c r="D146" s="86">
        <v>8</v>
      </c>
      <c r="E146" s="86">
        <v>17</v>
      </c>
      <c r="F146" s="86">
        <v>14</v>
      </c>
      <c r="G146" s="83" t="str">
        <f t="shared" si="4"/>
        <v>k6+1</v>
      </c>
      <c r="H146" s="104">
        <v>5</v>
      </c>
      <c r="I146" s="82" t="s">
        <v>558</v>
      </c>
      <c r="J146" s="79"/>
      <c r="K146" s="87">
        <v>0.8</v>
      </c>
      <c r="L146" s="85" t="s">
        <v>548</v>
      </c>
      <c r="M146" s="79" t="s">
        <v>141</v>
      </c>
      <c r="N146" s="79" t="s">
        <v>159</v>
      </c>
      <c r="O146" s="78"/>
      <c r="P146" s="79" t="s">
        <v>592</v>
      </c>
      <c r="R146" s="7"/>
    </row>
    <row r="147" spans="1:18" s="148" customFormat="1">
      <c r="A147" s="191" t="s">
        <v>1108</v>
      </c>
      <c r="B147" s="189" t="s">
        <v>535</v>
      </c>
      <c r="C147" s="193" t="str">
        <f>"1x"</f>
        <v>1x</v>
      </c>
      <c r="D147" s="88">
        <v>3</v>
      </c>
      <c r="E147" s="88">
        <v>11</v>
      </c>
      <c r="F147" s="88">
        <v>100</v>
      </c>
      <c r="G147" s="103" t="str">
        <f t="shared" si="4"/>
        <v>k6+4</v>
      </c>
      <c r="H147" s="104">
        <v>5</v>
      </c>
      <c r="I147" s="103" t="s">
        <v>675</v>
      </c>
      <c r="J147" s="189"/>
      <c r="K147" s="194" t="s">
        <v>763</v>
      </c>
      <c r="L147" s="195" t="s">
        <v>763</v>
      </c>
      <c r="M147" s="189" t="s">
        <v>142</v>
      </c>
      <c r="N147" s="189" t="s">
        <v>141</v>
      </c>
      <c r="O147" s="78"/>
      <c r="P147" s="79"/>
    </row>
    <row r="148" spans="1:18">
      <c r="A148" s="22" t="s">
        <v>524</v>
      </c>
      <c r="B148" s="79" t="s">
        <v>535</v>
      </c>
      <c r="C148" s="108" t="str">
        <f>IF(AND(gyorsaság&gt;=14,ügyesség&gt;=14),"2x","1x")</f>
        <v>1x</v>
      </c>
      <c r="D148" s="86">
        <v>5</v>
      </c>
      <c r="E148" s="88">
        <v>4</v>
      </c>
      <c r="F148" s="86">
        <v>90</v>
      </c>
      <c r="G148" s="83" t="str">
        <f t="shared" ref="G148:G179" si="5">$I148&amp;IF($J148="","",IF(erő&lt;=VALUE(MID($J148,2,2)),"","+"&amp;TEXT(erő-VALUE(MID($J148,2,2)),"0")))</f>
        <v>k6</v>
      </c>
      <c r="H148" s="104">
        <v>5</v>
      </c>
      <c r="I148" s="89" t="s">
        <v>575</v>
      </c>
      <c r="J148" s="79"/>
      <c r="K148" s="87">
        <v>0.6</v>
      </c>
      <c r="L148" s="85" t="s">
        <v>547</v>
      </c>
      <c r="M148" s="79" t="s">
        <v>142</v>
      </c>
      <c r="N148" s="79" t="s">
        <v>141</v>
      </c>
      <c r="O148" s="78"/>
      <c r="P148" s="79" t="s">
        <v>615</v>
      </c>
      <c r="R148" s="7"/>
    </row>
    <row r="149" spans="1:18">
      <c r="A149" s="22" t="s">
        <v>459</v>
      </c>
      <c r="B149" s="79" t="s">
        <v>539</v>
      </c>
      <c r="C149" s="108" t="str">
        <f>IF(OR(tapasztaltharcos),"2x","1x")</f>
        <v>1x</v>
      </c>
      <c r="D149" s="86">
        <v>9</v>
      </c>
      <c r="E149" s="86">
        <v>9</v>
      </c>
      <c r="F149" s="86">
        <v>17</v>
      </c>
      <c r="G149" s="83" t="str">
        <f t="shared" si="5"/>
        <v>k3</v>
      </c>
      <c r="H149" s="104">
        <v>5</v>
      </c>
      <c r="I149" s="82" t="s">
        <v>576</v>
      </c>
      <c r="J149" s="79" t="s">
        <v>152</v>
      </c>
      <c r="K149" s="87">
        <v>0.7</v>
      </c>
      <c r="L149" s="85" t="s">
        <v>607</v>
      </c>
      <c r="M149" s="79" t="s">
        <v>141</v>
      </c>
      <c r="N149" s="79" t="s">
        <v>149</v>
      </c>
      <c r="O149" s="78"/>
      <c r="P149" s="79" t="s">
        <v>592</v>
      </c>
      <c r="R149" s="7"/>
    </row>
    <row r="150" spans="1:18">
      <c r="A150" s="22" t="s">
        <v>422</v>
      </c>
      <c r="B150" s="79" t="s">
        <v>540</v>
      </c>
      <c r="C150" s="108" t="str">
        <f>IF(OR(tapasztaltharcos),"2x","1x")</f>
        <v>1x</v>
      </c>
      <c r="D150" s="86">
        <v>9</v>
      </c>
      <c r="E150" s="86">
        <v>12</v>
      </c>
      <c r="F150" s="86">
        <v>14</v>
      </c>
      <c r="G150" s="83" t="str">
        <f t="shared" si="5"/>
        <v>k6+1</v>
      </c>
      <c r="H150" s="104">
        <v>5</v>
      </c>
      <c r="I150" s="82" t="s">
        <v>558</v>
      </c>
      <c r="J150" s="79" t="s">
        <v>140</v>
      </c>
      <c r="K150" s="87">
        <v>1</v>
      </c>
      <c r="L150" s="85" t="s">
        <v>549</v>
      </c>
      <c r="M150" s="79" t="s">
        <v>141</v>
      </c>
      <c r="N150" s="79" t="s">
        <v>159</v>
      </c>
      <c r="O150" s="78"/>
      <c r="P150" s="79" t="s">
        <v>592</v>
      </c>
      <c r="R150" s="7"/>
    </row>
    <row r="151" spans="1:18">
      <c r="A151" s="22" t="s">
        <v>489</v>
      </c>
      <c r="B151" s="79" t="s">
        <v>538</v>
      </c>
      <c r="C151" s="108" t="str">
        <f>IF(OR(tapasztaltharcos),"2x","1x")</f>
        <v>1x</v>
      </c>
      <c r="D151" s="86">
        <v>4</v>
      </c>
      <c r="E151" s="86">
        <v>13</v>
      </c>
      <c r="F151" s="86">
        <v>12</v>
      </c>
      <c r="G151" s="83" t="str">
        <f t="shared" si="5"/>
        <v>k6+3</v>
      </c>
      <c r="H151" s="104">
        <v>5</v>
      </c>
      <c r="I151" s="82" t="s">
        <v>582</v>
      </c>
      <c r="J151" s="79" t="s">
        <v>140</v>
      </c>
      <c r="K151" s="87">
        <v>2</v>
      </c>
      <c r="L151" s="85" t="s">
        <v>549</v>
      </c>
      <c r="M151" s="79" t="s">
        <v>142</v>
      </c>
      <c r="N151" s="79" t="s">
        <v>156</v>
      </c>
      <c r="O151" s="78" t="s">
        <v>201</v>
      </c>
      <c r="P151" s="79" t="s">
        <v>677</v>
      </c>
      <c r="R151" s="7"/>
    </row>
    <row r="152" spans="1:18">
      <c r="A152" s="22" t="s">
        <v>423</v>
      </c>
      <c r="B152" s="79" t="s">
        <v>540</v>
      </c>
      <c r="C152" s="108" t="str">
        <f>IF(OR(AND(gyorsaság&gt;=16,ügyesség&gt;=16),tapasztaltharcos),"2x","1x")</f>
        <v>1x</v>
      </c>
      <c r="D152" s="86">
        <v>9</v>
      </c>
      <c r="E152" s="86">
        <v>10</v>
      </c>
      <c r="F152" s="86">
        <v>18</v>
      </c>
      <c r="G152" s="83" t="str">
        <f t="shared" si="5"/>
        <v>k6</v>
      </c>
      <c r="H152" s="104">
        <v>5</v>
      </c>
      <c r="I152" s="82" t="s">
        <v>575</v>
      </c>
      <c r="J152" s="79" t="s">
        <v>140</v>
      </c>
      <c r="K152" s="87">
        <v>0.2</v>
      </c>
      <c r="L152" s="85" t="s">
        <v>546</v>
      </c>
      <c r="M152" s="79" t="s">
        <v>141</v>
      </c>
      <c r="N152" s="79" t="s">
        <v>149</v>
      </c>
      <c r="O152" s="78"/>
      <c r="P152" s="79" t="s">
        <v>655</v>
      </c>
      <c r="R152" s="7"/>
    </row>
    <row r="153" spans="1:18">
      <c r="A153" s="22" t="s">
        <v>424</v>
      </c>
      <c r="B153" s="79" t="s">
        <v>540</v>
      </c>
      <c r="C153" s="108" t="str">
        <f>IF(OR(AND(gyorsaság&gt;=16,ügyesség&gt;=16),tapasztaltharcos),"2x","1x")</f>
        <v>1x</v>
      </c>
      <c r="D153" s="86">
        <v>10</v>
      </c>
      <c r="E153" s="86">
        <v>8</v>
      </c>
      <c r="F153" s="86">
        <v>4</v>
      </c>
      <c r="G153" s="83" t="str">
        <f t="shared" si="5"/>
        <v>k6</v>
      </c>
      <c r="H153" s="104">
        <v>5</v>
      </c>
      <c r="I153" s="82" t="s">
        <v>575</v>
      </c>
      <c r="J153" s="79" t="s">
        <v>140</v>
      </c>
      <c r="K153" s="87">
        <v>0.3</v>
      </c>
      <c r="L153" s="85" t="s">
        <v>546</v>
      </c>
      <c r="M153" s="79" t="s">
        <v>141</v>
      </c>
      <c r="N153" s="79" t="s">
        <v>142</v>
      </c>
      <c r="O153" s="78"/>
      <c r="P153" s="79" t="s">
        <v>633</v>
      </c>
      <c r="R153" s="7"/>
    </row>
    <row r="154" spans="1:18">
      <c r="A154" s="22" t="s">
        <v>425</v>
      </c>
      <c r="B154" s="79" t="s">
        <v>540</v>
      </c>
      <c r="C154" s="108" t="str">
        <f>IF(OR(AND(gyorsaság&gt;=16,ügyesség&gt;=16),tapasztaltharcos),"2x","1x")</f>
        <v>1x</v>
      </c>
      <c r="D154" s="86">
        <v>8</v>
      </c>
      <c r="E154" s="86">
        <v>13</v>
      </c>
      <c r="F154" s="86">
        <v>16</v>
      </c>
      <c r="G154" s="83" t="str">
        <f t="shared" si="5"/>
        <v>k6+2</v>
      </c>
      <c r="H154" s="104">
        <v>5</v>
      </c>
      <c r="I154" s="82" t="s">
        <v>557</v>
      </c>
      <c r="J154" s="79" t="s">
        <v>140</v>
      </c>
      <c r="K154" s="87">
        <v>0.4</v>
      </c>
      <c r="L154" s="85" t="s">
        <v>591</v>
      </c>
      <c r="M154" s="79" t="s">
        <v>141</v>
      </c>
      <c r="N154" s="79" t="s">
        <v>156</v>
      </c>
      <c r="O154" s="78"/>
      <c r="P154" s="79" t="s">
        <v>592</v>
      </c>
      <c r="R154" s="7"/>
    </row>
    <row r="155" spans="1:18">
      <c r="A155" s="22" t="s">
        <v>460</v>
      </c>
      <c r="B155" s="79" t="s">
        <v>539</v>
      </c>
      <c r="C155" s="108" t="str">
        <f>IF(OR(tapasztaltharcos),"2x","1x")</f>
        <v>1x</v>
      </c>
      <c r="D155" s="86">
        <v>8</v>
      </c>
      <c r="E155" s="86">
        <v>13</v>
      </c>
      <c r="F155" s="86">
        <v>14</v>
      </c>
      <c r="G155" s="83" t="str">
        <f t="shared" si="5"/>
        <v>k6+1</v>
      </c>
      <c r="H155" s="104">
        <v>5</v>
      </c>
      <c r="I155" s="82" t="s">
        <v>558</v>
      </c>
      <c r="J155" s="79" t="s">
        <v>152</v>
      </c>
      <c r="K155" s="87">
        <v>1.8</v>
      </c>
      <c r="L155" s="85" t="s">
        <v>591</v>
      </c>
      <c r="M155" s="79" t="s">
        <v>141</v>
      </c>
      <c r="N155" s="79" t="s">
        <v>149</v>
      </c>
      <c r="O155" s="78"/>
      <c r="P155" s="79" t="s">
        <v>592</v>
      </c>
      <c r="R155" s="7"/>
    </row>
    <row r="156" spans="1:18">
      <c r="A156" s="22" t="s">
        <v>525</v>
      </c>
      <c r="B156" s="79" t="s">
        <v>535</v>
      </c>
      <c r="C156" s="108" t="str">
        <f>"1/5x"</f>
        <v>1/5x</v>
      </c>
      <c r="D156" s="86">
        <v>0</v>
      </c>
      <c r="E156" s="86">
        <v>17</v>
      </c>
      <c r="F156" s="86">
        <v>80</v>
      </c>
      <c r="G156" s="83" t="str">
        <f t="shared" si="5"/>
        <v>2k10</v>
      </c>
      <c r="H156" s="104">
        <v>5</v>
      </c>
      <c r="I156" s="82" t="s">
        <v>618</v>
      </c>
      <c r="J156" s="79"/>
      <c r="K156" s="87">
        <v>8</v>
      </c>
      <c r="L156" s="85" t="s">
        <v>627</v>
      </c>
      <c r="M156" s="79" t="s">
        <v>142</v>
      </c>
      <c r="N156" s="79" t="s">
        <v>149</v>
      </c>
      <c r="O156" s="78"/>
      <c r="P156" s="79" t="s">
        <v>615</v>
      </c>
      <c r="R156" s="7"/>
    </row>
    <row r="157" spans="1:18">
      <c r="A157" s="22" t="s">
        <v>505</v>
      </c>
      <c r="B157" s="79" t="s">
        <v>534</v>
      </c>
      <c r="C157" s="108" t="str">
        <f>IF(OR(tapasztaltharcos),"2x","1x")</f>
        <v>1x</v>
      </c>
      <c r="D157" s="86">
        <v>8</v>
      </c>
      <c r="E157" s="86">
        <v>16</v>
      </c>
      <c r="F157" s="86">
        <v>18</v>
      </c>
      <c r="G157" s="83" t="str">
        <f t="shared" si="5"/>
        <v>k6+2</v>
      </c>
      <c r="H157" s="104">
        <v>5</v>
      </c>
      <c r="I157" s="82" t="s">
        <v>557</v>
      </c>
      <c r="J157" s="79" t="s">
        <v>140</v>
      </c>
      <c r="K157" s="91">
        <v>0.9</v>
      </c>
      <c r="L157" s="92" t="s">
        <v>204</v>
      </c>
      <c r="M157" s="81" t="s">
        <v>141</v>
      </c>
      <c r="N157" s="79" t="s">
        <v>159</v>
      </c>
      <c r="O157" s="78" t="s">
        <v>213</v>
      </c>
      <c r="P157" s="79" t="s">
        <v>580</v>
      </c>
      <c r="R157" s="7"/>
    </row>
    <row r="158" spans="1:18">
      <c r="A158" s="22" t="s">
        <v>442</v>
      </c>
      <c r="B158" s="79" t="s">
        <v>536</v>
      </c>
      <c r="C158" s="108" t="str">
        <f>IF(AND(gyorsaság&gt;=14,ügyesség&gt;=14),"3x","1x")</f>
        <v>1x</v>
      </c>
      <c r="D158" s="86">
        <v>10</v>
      </c>
      <c r="E158" s="86">
        <v>4</v>
      </c>
      <c r="F158" s="86">
        <v>0</v>
      </c>
      <c r="G158" s="83" t="str">
        <f t="shared" si="5"/>
        <v>k3</v>
      </c>
      <c r="H158" s="104">
        <v>5</v>
      </c>
      <c r="I158" s="82" t="s">
        <v>576</v>
      </c>
      <c r="J158" s="79" t="s">
        <v>140</v>
      </c>
      <c r="K158" s="87">
        <v>0.1</v>
      </c>
      <c r="L158" s="85" t="s">
        <v>604</v>
      </c>
      <c r="M158" s="79" t="s">
        <v>141</v>
      </c>
      <c r="N158" s="79" t="s">
        <v>142</v>
      </c>
      <c r="O158" s="78"/>
      <c r="P158" s="79" t="s">
        <v>592</v>
      </c>
      <c r="R158" s="7"/>
    </row>
    <row r="159" spans="1:18">
      <c r="A159" s="22" t="s">
        <v>426</v>
      </c>
      <c r="B159" s="79" t="s">
        <v>540</v>
      </c>
      <c r="C159" s="108" t="str">
        <f>IF(OR(tapasztaltharcos),"2x","1x")</f>
        <v>1x</v>
      </c>
      <c r="D159" s="86">
        <v>8</v>
      </c>
      <c r="E159" s="86">
        <v>20</v>
      </c>
      <c r="F159" s="86">
        <v>12</v>
      </c>
      <c r="G159" s="83" t="str">
        <f t="shared" si="5"/>
        <v>k10+2</v>
      </c>
      <c r="H159" s="104">
        <v>5</v>
      </c>
      <c r="I159" s="82" t="s">
        <v>600</v>
      </c>
      <c r="J159" s="79" t="s">
        <v>140</v>
      </c>
      <c r="K159" s="87">
        <v>1.4</v>
      </c>
      <c r="L159" s="85" t="s">
        <v>601</v>
      </c>
      <c r="M159" s="79" t="s">
        <v>142</v>
      </c>
      <c r="N159" s="79" t="s">
        <v>151</v>
      </c>
      <c r="O159" s="78"/>
      <c r="P159" s="79" t="s">
        <v>592</v>
      </c>
      <c r="R159" s="7"/>
    </row>
    <row r="160" spans="1:18">
      <c r="A160" s="22" t="s">
        <v>427</v>
      </c>
      <c r="B160" s="79" t="s">
        <v>540</v>
      </c>
      <c r="C160" s="108" t="str">
        <f>IF(OR(AND(gyorsaság&gt;=16,ügyesség&gt;=16),tapasztaltharcos),"2x","1x")</f>
        <v>1x</v>
      </c>
      <c r="D160" s="86">
        <v>9</v>
      </c>
      <c r="E160" s="86">
        <v>14</v>
      </c>
      <c r="F160" s="86">
        <v>6</v>
      </c>
      <c r="G160" s="83" t="str">
        <f t="shared" si="5"/>
        <v>k6+2</v>
      </c>
      <c r="H160" s="104">
        <v>5</v>
      </c>
      <c r="I160" s="82" t="s">
        <v>557</v>
      </c>
      <c r="J160" s="79" t="s">
        <v>140</v>
      </c>
      <c r="K160" s="87">
        <v>0.8</v>
      </c>
      <c r="L160" s="85" t="s">
        <v>606</v>
      </c>
      <c r="M160" s="79" t="s">
        <v>141</v>
      </c>
      <c r="N160" s="79" t="s">
        <v>142</v>
      </c>
      <c r="O160" s="78"/>
      <c r="P160" s="79" t="s">
        <v>592</v>
      </c>
      <c r="R160" s="7"/>
    </row>
    <row r="161" spans="1:20">
      <c r="A161" s="22" t="s">
        <v>471</v>
      </c>
      <c r="B161" s="79" t="s">
        <v>539</v>
      </c>
      <c r="C161" s="108" t="str">
        <f>IF(OR(tapasztaltharcos),"2x","1x")</f>
        <v>1x</v>
      </c>
      <c r="D161" s="86">
        <v>6</v>
      </c>
      <c r="E161" s="86">
        <v>10</v>
      </c>
      <c r="F161" s="86">
        <v>15</v>
      </c>
      <c r="G161" s="83" t="str">
        <f t="shared" si="5"/>
        <v>k3+1</v>
      </c>
      <c r="H161" s="104">
        <v>5</v>
      </c>
      <c r="I161" s="82" t="s">
        <v>588</v>
      </c>
      <c r="J161" s="79" t="s">
        <v>152</v>
      </c>
      <c r="K161" s="87">
        <v>1</v>
      </c>
      <c r="L161" s="85" t="s">
        <v>185</v>
      </c>
      <c r="M161" s="79" t="s">
        <v>141</v>
      </c>
      <c r="N161" s="79" t="s">
        <v>149</v>
      </c>
      <c r="O161" s="78" t="s">
        <v>186</v>
      </c>
      <c r="P161" s="79" t="s">
        <v>570</v>
      </c>
      <c r="R161" s="7"/>
    </row>
    <row r="162" spans="1:20">
      <c r="A162" s="22" t="s">
        <v>506</v>
      </c>
      <c r="B162" s="79" t="s">
        <v>534</v>
      </c>
      <c r="C162" s="108" t="str">
        <f>IF(OR(AND(gyorsaság&gt;=16,ügyesség&gt;=16),tapasztaltharcos),"2x","1x")</f>
        <v>1x</v>
      </c>
      <c r="D162" s="86">
        <v>9</v>
      </c>
      <c r="E162" s="86">
        <v>16</v>
      </c>
      <c r="F162" s="86">
        <v>4</v>
      </c>
      <c r="G162" s="83" t="str">
        <f t="shared" si="5"/>
        <v>k5</v>
      </c>
      <c r="H162" s="104">
        <v>5</v>
      </c>
      <c r="I162" s="82" t="s">
        <v>581</v>
      </c>
      <c r="J162" s="79" t="s">
        <v>140</v>
      </c>
      <c r="K162" s="91">
        <v>0.6</v>
      </c>
      <c r="L162" s="92" t="s">
        <v>204</v>
      </c>
      <c r="M162" s="81" t="s">
        <v>142</v>
      </c>
      <c r="N162" s="79" t="s">
        <v>142</v>
      </c>
      <c r="O162" s="78" t="s">
        <v>205</v>
      </c>
      <c r="P162" s="79" t="s">
        <v>580</v>
      </c>
      <c r="R162" s="7"/>
    </row>
    <row r="163" spans="1:20">
      <c r="A163" s="22" t="s">
        <v>428</v>
      </c>
      <c r="B163" s="79" t="s">
        <v>540</v>
      </c>
      <c r="C163" s="108" t="str">
        <f>IF(OR(tapasztaltharcos),"2x","1x")</f>
        <v>1x</v>
      </c>
      <c r="D163" s="86">
        <v>9</v>
      </c>
      <c r="E163" s="86">
        <v>13</v>
      </c>
      <c r="F163" s="86">
        <v>12</v>
      </c>
      <c r="G163" s="83" t="str">
        <f t="shared" si="5"/>
        <v>k6+1</v>
      </c>
      <c r="H163" s="104">
        <v>5</v>
      </c>
      <c r="I163" s="82" t="s">
        <v>558</v>
      </c>
      <c r="J163" s="79" t="s">
        <v>140</v>
      </c>
      <c r="K163" s="87">
        <v>1</v>
      </c>
      <c r="L163" s="85" t="s">
        <v>572</v>
      </c>
      <c r="M163" s="79" t="s">
        <v>141</v>
      </c>
      <c r="N163" s="79" t="s">
        <v>159</v>
      </c>
      <c r="O163" s="78" t="s">
        <v>171</v>
      </c>
      <c r="P163" s="79" t="s">
        <v>570</v>
      </c>
      <c r="R163" s="7"/>
    </row>
    <row r="164" spans="1:20">
      <c r="A164" s="22" t="s">
        <v>429</v>
      </c>
      <c r="B164" s="79" t="s">
        <v>540</v>
      </c>
      <c r="C164" s="108" t="str">
        <f>IF(OR(AND(gyorsaság&gt;=16,ügyesség&gt;=16),tapasztaltharcos),"2x","1x")</f>
        <v>1x</v>
      </c>
      <c r="D164" s="88">
        <v>10</v>
      </c>
      <c r="E164" s="86">
        <v>14</v>
      </c>
      <c r="F164" s="88">
        <v>5</v>
      </c>
      <c r="G164" s="83" t="str">
        <f t="shared" si="5"/>
        <v>k5</v>
      </c>
      <c r="H164" s="104">
        <v>5</v>
      </c>
      <c r="I164" s="89" t="s">
        <v>581</v>
      </c>
      <c r="J164" s="79" t="s">
        <v>140</v>
      </c>
      <c r="K164" s="87">
        <v>0.2</v>
      </c>
      <c r="L164" s="85" t="s">
        <v>546</v>
      </c>
      <c r="M164" s="79" t="s">
        <v>141</v>
      </c>
      <c r="N164" s="79" t="s">
        <v>142</v>
      </c>
      <c r="O164" s="78"/>
      <c r="P164" s="79" t="s">
        <v>651</v>
      </c>
      <c r="Q164" s="6"/>
      <c r="R164" s="7"/>
    </row>
    <row r="165" spans="1:20">
      <c r="A165" s="22" t="s">
        <v>430</v>
      </c>
      <c r="B165" s="79" t="s">
        <v>540</v>
      </c>
      <c r="C165" s="108" t="str">
        <f>IF(OR(tapasztaltharcos),"2x","1x")</f>
        <v>1x</v>
      </c>
      <c r="D165" s="86">
        <v>7</v>
      </c>
      <c r="E165" s="86">
        <v>15</v>
      </c>
      <c r="F165" s="86">
        <v>17</v>
      </c>
      <c r="G165" s="83" t="str">
        <f t="shared" si="5"/>
        <v>k6+2</v>
      </c>
      <c r="H165" s="104">
        <v>5</v>
      </c>
      <c r="I165" s="82" t="s">
        <v>557</v>
      </c>
      <c r="J165" s="79" t="s">
        <v>140</v>
      </c>
      <c r="K165" s="87">
        <v>1.5</v>
      </c>
      <c r="L165" s="85" t="s">
        <v>597</v>
      </c>
      <c r="M165" s="79" t="s">
        <v>141</v>
      </c>
      <c r="N165" s="79" t="s">
        <v>151</v>
      </c>
      <c r="O165" s="78"/>
      <c r="P165" s="79" t="s">
        <v>592</v>
      </c>
      <c r="R165" s="7"/>
    </row>
    <row r="166" spans="1:20">
      <c r="A166" s="22" t="s">
        <v>638</v>
      </c>
      <c r="B166" s="79" t="s">
        <v>540</v>
      </c>
      <c r="C166" s="108" t="str">
        <f>IF(OR(tapasztaltharcos),"2x","1x")</f>
        <v>1x</v>
      </c>
      <c r="D166" s="86">
        <v>10</v>
      </c>
      <c r="E166" s="86">
        <v>15</v>
      </c>
      <c r="F166" s="86">
        <v>25</v>
      </c>
      <c r="G166" s="83" t="str">
        <f t="shared" si="5"/>
        <v>k6+3</v>
      </c>
      <c r="H166" s="104">
        <v>5</v>
      </c>
      <c r="I166" s="82" t="s">
        <v>582</v>
      </c>
      <c r="J166" s="79" t="s">
        <v>140</v>
      </c>
      <c r="K166" s="87">
        <v>2.2000000000000002</v>
      </c>
      <c r="L166" s="85" t="s">
        <v>157</v>
      </c>
      <c r="M166" s="79" t="s">
        <v>142</v>
      </c>
      <c r="N166" s="79" t="s">
        <v>158</v>
      </c>
      <c r="O166" s="78"/>
      <c r="P166" s="79" t="s">
        <v>639</v>
      </c>
      <c r="R166" s="7"/>
    </row>
    <row r="167" spans="1:20">
      <c r="A167" s="22" t="s">
        <v>507</v>
      </c>
      <c r="B167" s="79" t="s">
        <v>534</v>
      </c>
      <c r="C167" s="108" t="str">
        <f>IF(OR(AND(gyorsaság&gt;=16,ügyesség&gt;=16),tapasztaltharcos),"2x","1x")</f>
        <v>1x</v>
      </c>
      <c r="D167" s="86">
        <v>9</v>
      </c>
      <c r="E167" s="86">
        <v>10</v>
      </c>
      <c r="F167" s="86">
        <v>18</v>
      </c>
      <c r="G167" s="83" t="str">
        <f t="shared" si="5"/>
        <v>k6</v>
      </c>
      <c r="H167" s="104">
        <v>5</v>
      </c>
      <c r="I167" s="82" t="s">
        <v>575</v>
      </c>
      <c r="J167" s="81" t="s">
        <v>140</v>
      </c>
      <c r="K167" s="91">
        <v>0.3</v>
      </c>
      <c r="L167" s="92" t="s">
        <v>154</v>
      </c>
      <c r="M167" s="79" t="s">
        <v>141</v>
      </c>
      <c r="N167" s="79" t="s">
        <v>149</v>
      </c>
      <c r="O167" s="78" t="s">
        <v>214</v>
      </c>
      <c r="P167" s="79" t="s">
        <v>580</v>
      </c>
      <c r="R167" s="7"/>
    </row>
    <row r="168" spans="1:20">
      <c r="A168" s="22" t="s">
        <v>652</v>
      </c>
      <c r="B168" s="79" t="s">
        <v>540</v>
      </c>
      <c r="C168" s="108" t="str">
        <f t="shared" ref="C168:C173" si="6">IF(OR(tapasztaltharcos),"2x","1x")</f>
        <v>1x</v>
      </c>
      <c r="D168" s="86">
        <v>8</v>
      </c>
      <c r="E168" s="86">
        <v>17</v>
      </c>
      <c r="F168" s="86">
        <v>14</v>
      </c>
      <c r="G168" s="83" t="str">
        <f t="shared" si="5"/>
        <v>k6+3</v>
      </c>
      <c r="H168" s="104">
        <v>5</v>
      </c>
      <c r="I168" s="82" t="s">
        <v>582</v>
      </c>
      <c r="J168" s="79" t="s">
        <v>140</v>
      </c>
      <c r="K168" s="87">
        <v>0.8</v>
      </c>
      <c r="L168" s="85" t="s">
        <v>160</v>
      </c>
      <c r="M168" s="79" t="s">
        <v>141</v>
      </c>
      <c r="N168" s="79" t="s">
        <v>143</v>
      </c>
      <c r="O168" s="78"/>
      <c r="P168" s="79" t="s">
        <v>651</v>
      </c>
      <c r="R168" s="7"/>
    </row>
    <row r="169" spans="1:20">
      <c r="A169" s="22" t="s">
        <v>612</v>
      </c>
      <c r="B169" s="79" t="s">
        <v>540</v>
      </c>
      <c r="C169" s="108" t="str">
        <f t="shared" si="6"/>
        <v>1x</v>
      </c>
      <c r="D169" s="86">
        <v>6</v>
      </c>
      <c r="E169" s="86">
        <v>14</v>
      </c>
      <c r="F169" s="86">
        <v>12</v>
      </c>
      <c r="G169" s="83" t="str">
        <f t="shared" si="5"/>
        <v>k6+3</v>
      </c>
      <c r="H169" s="104">
        <v>5</v>
      </c>
      <c r="I169" s="82" t="s">
        <v>582</v>
      </c>
      <c r="J169" s="79" t="s">
        <v>140</v>
      </c>
      <c r="K169" s="87">
        <v>1.8</v>
      </c>
      <c r="L169" s="85" t="s">
        <v>572</v>
      </c>
      <c r="M169" s="79" t="s">
        <v>141</v>
      </c>
      <c r="N169" s="79" t="s">
        <v>151</v>
      </c>
      <c r="O169" s="78"/>
      <c r="P169" s="79" t="s">
        <v>570</v>
      </c>
      <c r="R169" s="7"/>
    </row>
    <row r="170" spans="1:20">
      <c r="A170" s="22" t="s">
        <v>650</v>
      </c>
      <c r="B170" s="79" t="s">
        <v>540</v>
      </c>
      <c r="C170" s="108" t="str">
        <f t="shared" si="6"/>
        <v>1x</v>
      </c>
      <c r="D170" s="86">
        <v>9</v>
      </c>
      <c r="E170" s="86">
        <v>13</v>
      </c>
      <c r="F170" s="86">
        <v>10</v>
      </c>
      <c r="G170" s="83" t="str">
        <f t="shared" si="5"/>
        <v>k6+1</v>
      </c>
      <c r="H170" s="104">
        <v>5</v>
      </c>
      <c r="I170" s="82" t="s">
        <v>558</v>
      </c>
      <c r="J170" s="79" t="s">
        <v>140</v>
      </c>
      <c r="K170" s="87">
        <v>1.2</v>
      </c>
      <c r="L170" s="85" t="s">
        <v>591</v>
      </c>
      <c r="M170" s="79" t="s">
        <v>141</v>
      </c>
      <c r="N170" s="79" t="s">
        <v>151</v>
      </c>
      <c r="O170" s="78"/>
      <c r="P170" s="79" t="s">
        <v>651</v>
      </c>
      <c r="R170" s="7"/>
    </row>
    <row r="171" spans="1:20" s="7" customFormat="1">
      <c r="A171" s="22" t="s">
        <v>614</v>
      </c>
      <c r="B171" s="79" t="s">
        <v>538</v>
      </c>
      <c r="C171" s="108" t="str">
        <f t="shared" si="6"/>
        <v>1x</v>
      </c>
      <c r="D171" s="86">
        <v>4</v>
      </c>
      <c r="E171" s="86">
        <v>15</v>
      </c>
      <c r="F171" s="86">
        <v>10</v>
      </c>
      <c r="G171" s="83" t="str">
        <f t="shared" si="5"/>
        <v>k10+1</v>
      </c>
      <c r="H171" s="104">
        <v>5</v>
      </c>
      <c r="I171" s="82" t="s">
        <v>561</v>
      </c>
      <c r="J171" s="79" t="s">
        <v>140</v>
      </c>
      <c r="K171" s="87">
        <v>2</v>
      </c>
      <c r="L171" s="85" t="s">
        <v>154</v>
      </c>
      <c r="M171" s="79" t="s">
        <v>174</v>
      </c>
      <c r="N171" s="79" t="s">
        <v>156</v>
      </c>
      <c r="O171" s="78"/>
      <c r="P171" s="79" t="s">
        <v>570</v>
      </c>
    </row>
    <row r="172" spans="1:20">
      <c r="A172" s="22" t="s">
        <v>490</v>
      </c>
      <c r="B172" s="79" t="s">
        <v>538</v>
      </c>
      <c r="C172" s="108" t="str">
        <f t="shared" si="6"/>
        <v>1x</v>
      </c>
      <c r="D172" s="86">
        <v>4</v>
      </c>
      <c r="E172" s="86">
        <v>15</v>
      </c>
      <c r="F172" s="86">
        <v>10</v>
      </c>
      <c r="G172" s="83" t="str">
        <f t="shared" si="5"/>
        <v>k10+1</v>
      </c>
      <c r="H172" s="104">
        <v>5</v>
      </c>
      <c r="I172" s="82" t="s">
        <v>561</v>
      </c>
      <c r="J172" s="79" t="s">
        <v>140</v>
      </c>
      <c r="K172" s="87">
        <v>2</v>
      </c>
      <c r="L172" s="85" t="s">
        <v>619</v>
      </c>
      <c r="M172" s="79" t="s">
        <v>174</v>
      </c>
      <c r="N172" s="79" t="s">
        <v>156</v>
      </c>
      <c r="O172" s="78"/>
      <c r="P172" s="79" t="s">
        <v>615</v>
      </c>
      <c r="R172" s="7"/>
    </row>
    <row r="173" spans="1:20">
      <c r="A173" s="22" t="s">
        <v>468</v>
      </c>
      <c r="B173" s="79" t="s">
        <v>539</v>
      </c>
      <c r="C173" s="108" t="str">
        <f t="shared" si="6"/>
        <v>1x</v>
      </c>
      <c r="D173" s="86">
        <v>3</v>
      </c>
      <c r="E173" s="86">
        <v>8</v>
      </c>
      <c r="F173" s="86">
        <v>10</v>
      </c>
      <c r="G173" s="83" t="str">
        <f t="shared" si="5"/>
        <v>k6+3</v>
      </c>
      <c r="H173" s="104">
        <v>5</v>
      </c>
      <c r="I173" s="82" t="s">
        <v>582</v>
      </c>
      <c r="J173" s="79" t="s">
        <v>152</v>
      </c>
      <c r="K173" s="87">
        <v>3</v>
      </c>
      <c r="L173" s="85" t="s">
        <v>180</v>
      </c>
      <c r="M173" s="79" t="s">
        <v>142</v>
      </c>
      <c r="N173" s="79" t="s">
        <v>149</v>
      </c>
      <c r="O173" s="78" t="s">
        <v>181</v>
      </c>
      <c r="P173" s="79" t="s">
        <v>570</v>
      </c>
      <c r="R173" s="7"/>
    </row>
    <row r="174" spans="1:20">
      <c r="A174" s="22" t="s">
        <v>461</v>
      </c>
      <c r="B174" s="79" t="s">
        <v>539</v>
      </c>
      <c r="C174" s="108" t="str">
        <f>IF(OR(tapasztaltharcos),"1x","1/2x")</f>
        <v>1/2x</v>
      </c>
      <c r="D174" s="86">
        <v>4</v>
      </c>
      <c r="E174" s="86">
        <v>10</v>
      </c>
      <c r="F174" s="86">
        <v>8</v>
      </c>
      <c r="G174" s="83" t="str">
        <f t="shared" si="5"/>
        <v>2k6+1</v>
      </c>
      <c r="H174" s="104">
        <v>5</v>
      </c>
      <c r="I174" s="82" t="s">
        <v>578</v>
      </c>
      <c r="J174" s="79" t="s">
        <v>152</v>
      </c>
      <c r="K174" s="87">
        <v>3</v>
      </c>
      <c r="L174" s="85" t="s">
        <v>223</v>
      </c>
      <c r="M174" s="79" t="s">
        <v>142</v>
      </c>
      <c r="N174" s="79" t="s">
        <v>149</v>
      </c>
      <c r="O174" s="78"/>
      <c r="P174" s="79" t="s">
        <v>677</v>
      </c>
      <c r="R174" s="7"/>
    </row>
    <row r="175" spans="1:20">
      <c r="A175" s="22" t="s">
        <v>632</v>
      </c>
      <c r="B175" s="79" t="s">
        <v>540</v>
      </c>
      <c r="C175" s="108" t="str">
        <f>IF(OR(tapasztaltharcos),"2x","1x")</f>
        <v>1x</v>
      </c>
      <c r="D175" s="86">
        <v>9</v>
      </c>
      <c r="E175" s="86">
        <v>11</v>
      </c>
      <c r="F175" s="86">
        <v>14</v>
      </c>
      <c r="G175" s="83" t="str">
        <f t="shared" si="5"/>
        <v>k6+1</v>
      </c>
      <c r="H175" s="104">
        <v>5</v>
      </c>
      <c r="I175" s="82" t="s">
        <v>558</v>
      </c>
      <c r="J175" s="79" t="s">
        <v>140</v>
      </c>
      <c r="K175" s="87">
        <v>1</v>
      </c>
      <c r="L175" s="85" t="s">
        <v>549</v>
      </c>
      <c r="M175" s="79" t="s">
        <v>141</v>
      </c>
      <c r="N175" s="79" t="s">
        <v>156</v>
      </c>
      <c r="O175" s="78"/>
      <c r="P175" s="79" t="s">
        <v>633</v>
      </c>
      <c r="R175" s="7"/>
    </row>
    <row r="176" spans="1:20">
      <c r="A176" s="22" t="s">
        <v>431</v>
      </c>
      <c r="B176" s="79" t="s">
        <v>540</v>
      </c>
      <c r="C176" s="108" t="str">
        <f>IF(OR(tapasztaltharcos),"2x","1x")</f>
        <v>1x</v>
      </c>
      <c r="D176" s="86">
        <v>6</v>
      </c>
      <c r="E176" s="86">
        <v>17</v>
      </c>
      <c r="F176" s="86">
        <v>14</v>
      </c>
      <c r="G176" s="83" t="str">
        <f t="shared" si="5"/>
        <v>k10+1</v>
      </c>
      <c r="H176" s="104">
        <v>5</v>
      </c>
      <c r="I176" s="82" t="s">
        <v>561</v>
      </c>
      <c r="J176" s="79" t="s">
        <v>140</v>
      </c>
      <c r="K176" s="87">
        <v>1.5</v>
      </c>
      <c r="L176" s="85" t="s">
        <v>569</v>
      </c>
      <c r="M176" s="79" t="s">
        <v>142</v>
      </c>
      <c r="N176" s="79" t="s">
        <v>151</v>
      </c>
      <c r="O176" s="78" t="s">
        <v>172</v>
      </c>
      <c r="P176" s="79" t="s">
        <v>570</v>
      </c>
      <c r="R176" s="7"/>
      <c r="T176" s="7"/>
    </row>
    <row r="177" spans="1:18">
      <c r="A177" s="22" t="s">
        <v>469</v>
      </c>
      <c r="B177" s="79" t="s">
        <v>539</v>
      </c>
      <c r="C177" s="108" t="str">
        <f>IF(OR(tapasztaltharcos),"1x","1/2x")</f>
        <v>1/2x</v>
      </c>
      <c r="D177" s="86">
        <v>2</v>
      </c>
      <c r="E177" s="86">
        <v>11</v>
      </c>
      <c r="F177" s="86">
        <v>8</v>
      </c>
      <c r="G177" s="83" t="str">
        <f t="shared" si="5"/>
        <v>2k6+2</v>
      </c>
      <c r="H177" s="104">
        <v>5</v>
      </c>
      <c r="I177" s="82" t="s">
        <v>587</v>
      </c>
      <c r="J177" s="79" t="s">
        <v>152</v>
      </c>
      <c r="K177" s="87">
        <v>4</v>
      </c>
      <c r="L177" s="85" t="s">
        <v>154</v>
      </c>
      <c r="M177" s="79" t="s">
        <v>142</v>
      </c>
      <c r="N177" s="79" t="s">
        <v>149</v>
      </c>
      <c r="O177" s="78" t="s">
        <v>182</v>
      </c>
      <c r="P177" s="79" t="s">
        <v>570</v>
      </c>
      <c r="R177" s="7"/>
    </row>
    <row r="178" spans="1:18">
      <c r="A178" s="22" t="s">
        <v>508</v>
      </c>
      <c r="B178" s="79" t="s">
        <v>534</v>
      </c>
      <c r="C178" s="108" t="str">
        <f>IF(OR(AND(gyorsaság&gt;=16,ügyesség&gt;=16),tapasztaltharcos),"2x","1x")</f>
        <v>1x</v>
      </c>
      <c r="D178" s="86">
        <v>9</v>
      </c>
      <c r="E178" s="86">
        <v>9</v>
      </c>
      <c r="F178" s="86">
        <v>6</v>
      </c>
      <c r="G178" s="83" t="str">
        <f t="shared" si="5"/>
        <v>k6-1</v>
      </c>
      <c r="H178" s="104">
        <v>5</v>
      </c>
      <c r="I178" s="82" t="s">
        <v>589</v>
      </c>
      <c r="J178" s="79" t="s">
        <v>140</v>
      </c>
      <c r="K178" s="87">
        <v>0.7</v>
      </c>
      <c r="L178" s="85" t="s">
        <v>154</v>
      </c>
      <c r="M178" s="79" t="s">
        <v>141</v>
      </c>
      <c r="N178" s="79" t="s">
        <v>142</v>
      </c>
      <c r="O178" s="78" t="s">
        <v>586</v>
      </c>
      <c r="P178" s="79" t="s">
        <v>590</v>
      </c>
      <c r="R178" s="7"/>
    </row>
    <row r="179" spans="1:18">
      <c r="A179" s="22" t="s">
        <v>462</v>
      </c>
      <c r="B179" s="79" t="s">
        <v>539</v>
      </c>
      <c r="C179" s="108" t="str">
        <f>IF(OR(tapasztaltharcos),"2x","1x")</f>
        <v>1x</v>
      </c>
      <c r="D179" s="86">
        <v>7</v>
      </c>
      <c r="E179" s="86">
        <v>12</v>
      </c>
      <c r="F179" s="88">
        <v>13</v>
      </c>
      <c r="G179" s="83" t="str">
        <f t="shared" si="5"/>
        <v>k6+1</v>
      </c>
      <c r="H179" s="104">
        <v>5</v>
      </c>
      <c r="I179" s="82" t="s">
        <v>558</v>
      </c>
      <c r="J179" s="79" t="s">
        <v>152</v>
      </c>
      <c r="K179" s="87">
        <v>2</v>
      </c>
      <c r="L179" s="85" t="s">
        <v>609</v>
      </c>
      <c r="M179" s="79" t="s">
        <v>141</v>
      </c>
      <c r="N179" s="79" t="s">
        <v>149</v>
      </c>
      <c r="O179" s="78"/>
      <c r="P179" s="79" t="s">
        <v>592</v>
      </c>
      <c r="R179" s="7"/>
    </row>
    <row r="180" spans="1:18">
      <c r="A180" s="22" t="s">
        <v>463</v>
      </c>
      <c r="B180" s="79" t="s">
        <v>539</v>
      </c>
      <c r="C180" s="108" t="str">
        <f>IF(OR(tapasztaltharcos),"2x","1x")</f>
        <v>1x</v>
      </c>
      <c r="D180" s="86">
        <v>8</v>
      </c>
      <c r="E180" s="86">
        <v>12</v>
      </c>
      <c r="F180" s="86">
        <v>19</v>
      </c>
      <c r="G180" s="83" t="str">
        <f t="shared" ref="G180:G197" si="7">$I180&amp;IF($J180="","",IF(erő&lt;=VALUE(MID($J180,2,2)),"","+"&amp;TEXT(erő-VALUE(MID($J180,2,2)),"0")))</f>
        <v>k5</v>
      </c>
      <c r="H180" s="104">
        <v>5</v>
      </c>
      <c r="I180" s="89" t="s">
        <v>581</v>
      </c>
      <c r="J180" s="79" t="s">
        <v>152</v>
      </c>
      <c r="K180" s="87">
        <v>0.4</v>
      </c>
      <c r="L180" s="85" t="s">
        <v>550</v>
      </c>
      <c r="M180" s="79" t="s">
        <v>141</v>
      </c>
      <c r="N180" s="79" t="s">
        <v>149</v>
      </c>
      <c r="O180" s="78"/>
      <c r="P180" s="79" t="s">
        <v>655</v>
      </c>
      <c r="R180" s="7"/>
    </row>
    <row r="181" spans="1:18">
      <c r="A181" s="22" t="s">
        <v>432</v>
      </c>
      <c r="B181" s="79" t="s">
        <v>540</v>
      </c>
      <c r="C181" s="108" t="str">
        <f>IF(OR(AND(gyorsaság&gt;=16,ügyesség&gt;=16),tapasztaltharcos),"2x","1x")</f>
        <v>1x</v>
      </c>
      <c r="D181" s="86">
        <v>10</v>
      </c>
      <c r="E181" s="86">
        <v>8</v>
      </c>
      <c r="F181" s="86">
        <v>2</v>
      </c>
      <c r="G181" s="83" t="str">
        <f t="shared" si="7"/>
        <v>k6</v>
      </c>
      <c r="H181" s="104">
        <v>5</v>
      </c>
      <c r="I181" s="82" t="s">
        <v>575</v>
      </c>
      <c r="J181" s="79" t="s">
        <v>140</v>
      </c>
      <c r="K181" s="87">
        <v>0.3</v>
      </c>
      <c r="L181" s="85" t="s">
        <v>223</v>
      </c>
      <c r="M181" s="79" t="s">
        <v>141</v>
      </c>
      <c r="N181" s="79" t="s">
        <v>142</v>
      </c>
      <c r="O181" s="78"/>
      <c r="P181" s="79" t="s">
        <v>592</v>
      </c>
      <c r="R181" s="7"/>
    </row>
    <row r="182" spans="1:18">
      <c r="A182" s="22" t="s">
        <v>433</v>
      </c>
      <c r="B182" s="79" t="s">
        <v>540</v>
      </c>
      <c r="C182" s="108" t="str">
        <f>IF(OR(AND(gyorsaság&gt;=16,ügyesség&gt;=16),tapasztaltharcos),"2x","1x")</f>
        <v>1x</v>
      </c>
      <c r="D182" s="86">
        <v>9</v>
      </c>
      <c r="E182" s="86">
        <v>12</v>
      </c>
      <c r="F182" s="86">
        <v>14</v>
      </c>
      <c r="G182" s="83" t="str">
        <f t="shared" si="7"/>
        <v>k6+2</v>
      </c>
      <c r="H182" s="104">
        <v>5</v>
      </c>
      <c r="I182" s="82" t="s">
        <v>557</v>
      </c>
      <c r="J182" s="79"/>
      <c r="K182" s="87">
        <v>0.8</v>
      </c>
      <c r="L182" s="85" t="s">
        <v>548</v>
      </c>
      <c r="M182" s="79" t="s">
        <v>141</v>
      </c>
      <c r="N182" s="79" t="s">
        <v>142</v>
      </c>
      <c r="O182" s="78" t="s">
        <v>173</v>
      </c>
      <c r="P182" s="79" t="s">
        <v>592</v>
      </c>
      <c r="R182" s="7"/>
    </row>
    <row r="183" spans="1:18">
      <c r="A183" s="22" t="s">
        <v>640</v>
      </c>
      <c r="B183" s="79" t="s">
        <v>540</v>
      </c>
      <c r="C183" s="108" t="str">
        <f>IF(OR(AND(gyorsaság&gt;=16,ügyesség&gt;=16),tapasztaltharcos),"2x","1x")</f>
        <v>1x</v>
      </c>
      <c r="D183" s="86">
        <v>8</v>
      </c>
      <c r="E183" s="86">
        <v>12</v>
      </c>
      <c r="F183" s="86">
        <v>6</v>
      </c>
      <c r="G183" s="83" t="str">
        <f t="shared" si="7"/>
        <v>k6</v>
      </c>
      <c r="H183" s="104">
        <v>5</v>
      </c>
      <c r="I183" s="82" t="s">
        <v>575</v>
      </c>
      <c r="J183" s="79" t="s">
        <v>140</v>
      </c>
      <c r="K183" s="87">
        <v>0.9</v>
      </c>
      <c r="L183" s="85" t="s">
        <v>157</v>
      </c>
      <c r="M183" s="79" t="s">
        <v>141</v>
      </c>
      <c r="N183" s="79" t="s">
        <v>156</v>
      </c>
      <c r="O183" s="78"/>
      <c r="P183" s="79" t="s">
        <v>639</v>
      </c>
      <c r="R183" s="7"/>
    </row>
    <row r="184" spans="1:18">
      <c r="A184" s="22" t="s">
        <v>434</v>
      </c>
      <c r="B184" s="79" t="s">
        <v>540</v>
      </c>
      <c r="C184" s="108" t="str">
        <f>IF(OR(AND(gyorsaság&gt;=16,ügyesség&gt;=16),tapasztaltharcos),"2x","1x")</f>
        <v>1x</v>
      </c>
      <c r="D184" s="86">
        <v>10</v>
      </c>
      <c r="E184" s="86">
        <v>6</v>
      </c>
      <c r="F184" s="86">
        <v>2</v>
      </c>
      <c r="G184" s="83" t="str">
        <f t="shared" si="7"/>
        <v>k6</v>
      </c>
      <c r="H184" s="104">
        <v>5</v>
      </c>
      <c r="I184" s="82" t="s">
        <v>575</v>
      </c>
      <c r="J184" s="79" t="s">
        <v>140</v>
      </c>
      <c r="K184" s="87">
        <v>0.3</v>
      </c>
      <c r="L184" s="85" t="s">
        <v>546</v>
      </c>
      <c r="M184" s="79" t="s">
        <v>141</v>
      </c>
      <c r="N184" s="79" t="s">
        <v>142</v>
      </c>
      <c r="O184" s="78"/>
      <c r="P184" s="79" t="s">
        <v>633</v>
      </c>
      <c r="R184" s="7"/>
    </row>
    <row r="185" spans="1:18">
      <c r="A185" s="22" t="s">
        <v>464</v>
      </c>
      <c r="B185" s="79" t="s">
        <v>539</v>
      </c>
      <c r="C185" s="108" t="str">
        <f>IF(OR(tapasztaltharcos),"2x","1x")</f>
        <v>1x</v>
      </c>
      <c r="D185" s="86">
        <v>6</v>
      </c>
      <c r="E185" s="86">
        <v>15</v>
      </c>
      <c r="F185" s="86">
        <v>3</v>
      </c>
      <c r="G185" s="83" t="str">
        <f t="shared" si="7"/>
        <v>k10</v>
      </c>
      <c r="H185" s="104">
        <v>5</v>
      </c>
      <c r="I185" s="82" t="s">
        <v>559</v>
      </c>
      <c r="J185" s="79" t="s">
        <v>152</v>
      </c>
      <c r="K185" s="87">
        <v>2</v>
      </c>
      <c r="L185" s="85" t="s">
        <v>543</v>
      </c>
      <c r="M185" s="79" t="s">
        <v>141</v>
      </c>
      <c r="N185" s="79" t="s">
        <v>162</v>
      </c>
      <c r="O185" s="78"/>
      <c r="P185" s="79" t="s">
        <v>649</v>
      </c>
      <c r="R185" s="7"/>
    </row>
    <row r="186" spans="1:18">
      <c r="A186" s="22" t="s">
        <v>465</v>
      </c>
      <c r="B186" s="79" t="s">
        <v>539</v>
      </c>
      <c r="C186" s="108" t="str">
        <f>IF(OR(tapasztaltharcos),"2x","1x")</f>
        <v>1x</v>
      </c>
      <c r="D186" s="86">
        <v>7</v>
      </c>
      <c r="E186" s="86">
        <v>12</v>
      </c>
      <c r="F186" s="86">
        <v>13</v>
      </c>
      <c r="G186" s="83" t="str">
        <f t="shared" si="7"/>
        <v>k6+2</v>
      </c>
      <c r="H186" s="104">
        <v>5</v>
      </c>
      <c r="I186" s="82" t="s">
        <v>557</v>
      </c>
      <c r="J186" s="79" t="s">
        <v>152</v>
      </c>
      <c r="K186" s="87">
        <v>2</v>
      </c>
      <c r="L186" s="85" t="s">
        <v>549</v>
      </c>
      <c r="M186" s="79" t="s">
        <v>141</v>
      </c>
      <c r="N186" s="79" t="s">
        <v>151</v>
      </c>
      <c r="O186" s="78"/>
      <c r="P186" s="79" t="s">
        <v>592</v>
      </c>
      <c r="R186" s="7"/>
    </row>
    <row r="187" spans="1:18">
      <c r="A187" s="22" t="s">
        <v>509</v>
      </c>
      <c r="B187" s="79" t="s">
        <v>534</v>
      </c>
      <c r="C187" s="108" t="str">
        <f>IF(OR(AND(gyorsaság&gt;=16,ügyesség&gt;=16),tapasztaltharcos),"2x","1x")</f>
        <v>1x</v>
      </c>
      <c r="D187" s="86">
        <v>10</v>
      </c>
      <c r="E187" s="86">
        <v>4</v>
      </c>
      <c r="F187" s="86">
        <v>1</v>
      </c>
      <c r="G187" s="83" t="str">
        <f t="shared" si="7"/>
        <v>tű</v>
      </c>
      <c r="H187" s="104">
        <v>5</v>
      </c>
      <c r="I187" s="82" t="s">
        <v>215</v>
      </c>
      <c r="J187" s="79"/>
      <c r="K187" s="87"/>
      <c r="L187" s="85" t="s">
        <v>593</v>
      </c>
      <c r="M187" s="79" t="s">
        <v>141</v>
      </c>
      <c r="N187" s="79" t="s">
        <v>141</v>
      </c>
      <c r="O187" s="78"/>
      <c r="P187" s="79" t="s">
        <v>633</v>
      </c>
      <c r="R187" s="7"/>
    </row>
    <row r="188" spans="1:18">
      <c r="A188" s="22" t="s">
        <v>526</v>
      </c>
      <c r="B188" s="79" t="s">
        <v>535</v>
      </c>
      <c r="C188" s="108" t="str">
        <f>IF(AND(gyorsaság&gt;=14,ügyesség&gt;=14),"3x","1x")</f>
        <v>1x</v>
      </c>
      <c r="D188" s="86">
        <v>10</v>
      </c>
      <c r="E188" s="86">
        <v>6</v>
      </c>
      <c r="F188" s="86">
        <v>3</v>
      </c>
      <c r="G188" s="83" t="str">
        <f t="shared" si="7"/>
        <v>tű</v>
      </c>
      <c r="H188" s="104">
        <v>5</v>
      </c>
      <c r="I188" s="82" t="s">
        <v>215</v>
      </c>
      <c r="J188" s="79"/>
      <c r="K188" s="87">
        <v>0.5</v>
      </c>
      <c r="L188" s="85" t="s">
        <v>548</v>
      </c>
      <c r="M188" s="79" t="s">
        <v>141</v>
      </c>
      <c r="N188" s="79" t="s">
        <v>141</v>
      </c>
      <c r="O188" s="78"/>
      <c r="P188" s="79" t="s">
        <v>673</v>
      </c>
      <c r="R188" s="7"/>
    </row>
    <row r="189" spans="1:18">
      <c r="A189" s="22" t="s">
        <v>443</v>
      </c>
      <c r="B189" s="79" t="s">
        <v>536</v>
      </c>
      <c r="C189" s="108" t="str">
        <f>IF(AND(gyorsaság&gt;=14,ügyesség&gt;=14),"2x","1x")</f>
        <v>1x</v>
      </c>
      <c r="D189" s="86">
        <v>9</v>
      </c>
      <c r="E189" s="86">
        <v>12</v>
      </c>
      <c r="F189" s="86">
        <v>4</v>
      </c>
      <c r="G189" s="83" t="str">
        <f t="shared" si="7"/>
        <v>k5</v>
      </c>
      <c r="H189" s="104">
        <v>5</v>
      </c>
      <c r="I189" s="82" t="s">
        <v>581</v>
      </c>
      <c r="J189" s="79" t="s">
        <v>140</v>
      </c>
      <c r="K189" s="87">
        <v>1</v>
      </c>
      <c r="L189" s="85" t="s">
        <v>176</v>
      </c>
      <c r="M189" s="79" t="s">
        <v>141</v>
      </c>
      <c r="N189" s="79" t="s">
        <v>141</v>
      </c>
      <c r="O189" s="78" t="s">
        <v>177</v>
      </c>
      <c r="P189" s="79" t="s">
        <v>570</v>
      </c>
      <c r="R189" s="7"/>
    </row>
    <row r="190" spans="1:18">
      <c r="A190" s="22" t="s">
        <v>178</v>
      </c>
      <c r="B190" s="79" t="s">
        <v>539</v>
      </c>
      <c r="C190" s="108" t="str">
        <f>IF(OR(tapasztaltharcos),"1x","1/2x")</f>
        <v>1/2x</v>
      </c>
      <c r="D190" s="86">
        <v>0</v>
      </c>
      <c r="E190" s="86">
        <v>8</v>
      </c>
      <c r="F190" s="86">
        <v>6</v>
      </c>
      <c r="G190" s="83" t="str">
        <f t="shared" si="7"/>
        <v>3k6</v>
      </c>
      <c r="H190" s="104">
        <v>5</v>
      </c>
      <c r="I190" s="82" t="s">
        <v>128</v>
      </c>
      <c r="J190" s="79" t="s">
        <v>152</v>
      </c>
      <c r="K190" s="87">
        <v>5</v>
      </c>
      <c r="L190" s="85" t="s">
        <v>572</v>
      </c>
      <c r="M190" s="79" t="s">
        <v>142</v>
      </c>
      <c r="N190" s="79" t="s">
        <v>159</v>
      </c>
      <c r="O190" s="78" t="s">
        <v>179</v>
      </c>
      <c r="P190" s="79" t="s">
        <v>580</v>
      </c>
      <c r="R190" s="7"/>
    </row>
    <row r="191" spans="1:18" s="148" customFormat="1">
      <c r="A191" s="191" t="s">
        <v>1162</v>
      </c>
      <c r="B191" s="189" t="s">
        <v>540</v>
      </c>
      <c r="C191" s="115" t="str">
        <f>IF(OR(AND(gyorsaság&gt;=16,ügyesség&gt;=16),tapasztaltharcos),"2x","1x")</f>
        <v>1x</v>
      </c>
      <c r="D191" s="88">
        <v>10</v>
      </c>
      <c r="E191" s="88">
        <v>7</v>
      </c>
      <c r="F191" s="88">
        <v>3</v>
      </c>
      <c r="G191" s="103" t="str">
        <f t="shared" si="7"/>
        <v>k6+1</v>
      </c>
      <c r="H191" s="104">
        <v>5</v>
      </c>
      <c r="I191" s="89" t="s">
        <v>558</v>
      </c>
      <c r="J191" s="189" t="s">
        <v>140</v>
      </c>
      <c r="K191" s="201">
        <v>0.4</v>
      </c>
      <c r="L191" s="190" t="s">
        <v>547</v>
      </c>
      <c r="M191" s="189" t="s">
        <v>141</v>
      </c>
      <c r="N191" s="189" t="s">
        <v>142</v>
      </c>
      <c r="O191" s="78" t="s">
        <v>1255</v>
      </c>
      <c r="P191" s="79"/>
    </row>
    <row r="192" spans="1:18">
      <c r="A192" s="22" t="s">
        <v>466</v>
      </c>
      <c r="B192" s="79" t="s">
        <v>539</v>
      </c>
      <c r="C192" s="108" t="str">
        <f>IF(OR(AND(gyorsaság&gt;=16,ügyesség&gt;=16),tapasztaltharcos),"2x","1x")</f>
        <v>1x</v>
      </c>
      <c r="D192" s="86">
        <v>10</v>
      </c>
      <c r="E192" s="86">
        <v>18</v>
      </c>
      <c r="F192" s="86">
        <v>3</v>
      </c>
      <c r="G192" s="83" t="str">
        <f t="shared" si="7"/>
        <v>k6</v>
      </c>
      <c r="H192" s="104">
        <v>5</v>
      </c>
      <c r="I192" s="82" t="s">
        <v>575</v>
      </c>
      <c r="J192" s="79" t="s">
        <v>152</v>
      </c>
      <c r="K192" s="87">
        <v>0.4</v>
      </c>
      <c r="L192" s="85" t="s">
        <v>223</v>
      </c>
      <c r="M192" s="79" t="s">
        <v>141</v>
      </c>
      <c r="N192" s="79" t="s">
        <v>149</v>
      </c>
      <c r="O192" s="78"/>
      <c r="P192" s="79" t="s">
        <v>655</v>
      </c>
      <c r="R192" s="7"/>
    </row>
    <row r="193" spans="1:18">
      <c r="A193" s="22" t="s">
        <v>613</v>
      </c>
      <c r="B193" s="79" t="s">
        <v>534</v>
      </c>
      <c r="C193" s="108" t="str">
        <f>IF(OR(tapasztaltharcos),"2x","1x")</f>
        <v>1x</v>
      </c>
      <c r="D193" s="86">
        <v>10</v>
      </c>
      <c r="E193" s="86">
        <v>18</v>
      </c>
      <c r="F193" s="86">
        <v>3</v>
      </c>
      <c r="G193" s="83" t="str">
        <f t="shared" si="7"/>
        <v>k6+2</v>
      </c>
      <c r="H193" s="104">
        <v>5</v>
      </c>
      <c r="I193" s="82" t="s">
        <v>557</v>
      </c>
      <c r="J193" s="79" t="s">
        <v>140</v>
      </c>
      <c r="K193" s="87">
        <v>1.2</v>
      </c>
      <c r="L193" s="85" t="s">
        <v>183</v>
      </c>
      <c r="M193" s="79" t="s">
        <v>141</v>
      </c>
      <c r="N193" s="79" t="s">
        <v>149</v>
      </c>
      <c r="O193" s="78"/>
      <c r="P193" s="79" t="s">
        <v>580</v>
      </c>
      <c r="R193" s="7"/>
    </row>
    <row r="194" spans="1:18">
      <c r="A194" s="22" t="s">
        <v>467</v>
      </c>
      <c r="B194" s="79" t="s">
        <v>539</v>
      </c>
      <c r="C194" s="108" t="str">
        <f>IF(OR(AND(gyorsaság&gt;=16,ügyesség&gt;=16),tapasztaltharcos),"2x","1x")</f>
        <v>1x</v>
      </c>
      <c r="D194" s="86">
        <v>8</v>
      </c>
      <c r="E194" s="86">
        <v>9</v>
      </c>
      <c r="F194" s="86">
        <v>4</v>
      </c>
      <c r="G194" s="83" t="str">
        <f t="shared" si="7"/>
        <v>k6+2</v>
      </c>
      <c r="H194" s="104">
        <v>5</v>
      </c>
      <c r="I194" s="82" t="s">
        <v>557</v>
      </c>
      <c r="J194" s="79" t="s">
        <v>152</v>
      </c>
      <c r="K194" s="87">
        <v>0.6</v>
      </c>
      <c r="L194" s="85" t="s">
        <v>546</v>
      </c>
      <c r="M194" s="79" t="s">
        <v>141</v>
      </c>
      <c r="N194" s="79" t="s">
        <v>149</v>
      </c>
      <c r="O194" s="78"/>
      <c r="P194" s="79" t="s">
        <v>649</v>
      </c>
      <c r="R194" s="7"/>
    </row>
    <row r="195" spans="1:18">
      <c r="A195" s="22" t="s">
        <v>510</v>
      </c>
      <c r="B195" s="79" t="s">
        <v>534</v>
      </c>
      <c r="C195" s="108" t="str">
        <f>IF(OR(AND(gyorsaság&gt;=16,ügyesség&gt;=16),tapasztaltharcos),"2x","1x")</f>
        <v>1x</v>
      </c>
      <c r="D195" s="86">
        <v>9</v>
      </c>
      <c r="E195" s="86">
        <v>5</v>
      </c>
      <c r="F195" s="86">
        <v>2</v>
      </c>
      <c r="G195" s="83" t="str">
        <f t="shared" si="7"/>
        <v>k3</v>
      </c>
      <c r="H195" s="104">
        <v>5</v>
      </c>
      <c r="I195" s="82" t="s">
        <v>576</v>
      </c>
      <c r="J195" s="79" t="s">
        <v>140</v>
      </c>
      <c r="K195" s="87">
        <v>0.2</v>
      </c>
      <c r="L195" s="85" t="s">
        <v>223</v>
      </c>
      <c r="M195" s="79" t="s">
        <v>141</v>
      </c>
      <c r="N195" s="79" t="s">
        <v>149</v>
      </c>
      <c r="O195" s="78"/>
      <c r="P195" s="79" t="s">
        <v>615</v>
      </c>
      <c r="R195" s="7"/>
    </row>
    <row r="196" spans="1:18">
      <c r="A196" s="22" t="s">
        <v>527</v>
      </c>
      <c r="B196" s="79" t="s">
        <v>535</v>
      </c>
      <c r="C196" s="108" t="str">
        <f>IF(AND(gyorsaság&gt;=14,ügyesség&gt;=14),"2x","1x")</f>
        <v>1x</v>
      </c>
      <c r="D196" s="86">
        <v>3</v>
      </c>
      <c r="E196" s="86">
        <v>8</v>
      </c>
      <c r="F196" s="86">
        <v>180</v>
      </c>
      <c r="G196" s="83" t="str">
        <f t="shared" si="7"/>
        <v>k10</v>
      </c>
      <c r="H196" s="104">
        <v>5</v>
      </c>
      <c r="I196" s="82" t="s">
        <v>559</v>
      </c>
      <c r="J196" s="79" t="s">
        <v>140</v>
      </c>
      <c r="K196" s="87">
        <v>0.8</v>
      </c>
      <c r="L196" s="85" t="s">
        <v>545</v>
      </c>
      <c r="M196" s="79" t="s">
        <v>142</v>
      </c>
      <c r="N196" s="79" t="s">
        <v>141</v>
      </c>
      <c r="O196" s="78"/>
      <c r="P196" s="79" t="s">
        <v>615</v>
      </c>
      <c r="R196" s="7"/>
    </row>
    <row r="197" spans="1:18">
      <c r="A197" s="22" t="s">
        <v>531</v>
      </c>
      <c r="B197" s="79" t="s">
        <v>537</v>
      </c>
      <c r="C197" s="108" t="str">
        <f>IF(OR(tapasztaltharcos),"2x","1x")</f>
        <v>1x</v>
      </c>
      <c r="D197" s="86">
        <v>5</v>
      </c>
      <c r="E197" s="86">
        <v>9</v>
      </c>
      <c r="F197" s="86">
        <v>11</v>
      </c>
      <c r="G197" s="83" t="str">
        <f t="shared" si="7"/>
        <v>k6+1</v>
      </c>
      <c r="H197" s="104">
        <v>0</v>
      </c>
      <c r="I197" s="82" t="s">
        <v>558</v>
      </c>
      <c r="J197" s="79" t="s">
        <v>140</v>
      </c>
      <c r="K197" s="87">
        <v>6</v>
      </c>
      <c r="L197" s="85" t="s">
        <v>543</v>
      </c>
      <c r="M197" s="79" t="s">
        <v>141</v>
      </c>
      <c r="N197" s="79" t="s">
        <v>143</v>
      </c>
      <c r="O197" s="78"/>
      <c r="P197" s="79" t="s">
        <v>649</v>
      </c>
      <c r="R197" s="7"/>
    </row>
    <row r="198" spans="1:18">
      <c r="A198" s="78"/>
      <c r="B198" s="78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8"/>
      <c r="P198" s="79"/>
    </row>
    <row r="199" spans="1:18" s="7" customFormat="1">
      <c r="A199" s="78"/>
      <c r="B199" s="78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8"/>
      <c r="P199" s="79"/>
    </row>
    <row r="200" spans="1:18">
      <c r="A200" s="106">
        <f>COLUMN()</f>
        <v>1</v>
      </c>
      <c r="B200" s="106">
        <f>COLUMN()</f>
        <v>2</v>
      </c>
      <c r="C200" s="106">
        <f>COLUMN()</f>
        <v>3</v>
      </c>
      <c r="D200" s="106">
        <f>COLUMN()</f>
        <v>4</v>
      </c>
      <c r="E200" s="106">
        <f>COLUMN()</f>
        <v>5</v>
      </c>
      <c r="F200" s="106">
        <f>COLUMN()</f>
        <v>6</v>
      </c>
      <c r="G200" s="106">
        <f>COLUMN()</f>
        <v>7</v>
      </c>
      <c r="H200" s="106">
        <f>COLUMN()</f>
        <v>8</v>
      </c>
      <c r="I200" s="106">
        <f>COLUMN()</f>
        <v>9</v>
      </c>
      <c r="J200" s="106">
        <f>COLUMN()</f>
        <v>10</v>
      </c>
      <c r="K200" s="106">
        <f>COLUMN()</f>
        <v>11</v>
      </c>
      <c r="L200" s="106">
        <f>COLUMN()</f>
        <v>12</v>
      </c>
      <c r="M200" s="106">
        <f>COLUMN()</f>
        <v>13</v>
      </c>
      <c r="N200" s="106">
        <f>COLUMN()</f>
        <v>14</v>
      </c>
      <c r="O200" s="106">
        <f>COLUMN()</f>
        <v>15</v>
      </c>
      <c r="P200" s="106">
        <f>COLUMN()</f>
        <v>16</v>
      </c>
    </row>
    <row r="201" spans="1:18">
      <c r="A201" s="78"/>
      <c r="B201" s="78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8"/>
      <c r="P201" s="79"/>
    </row>
    <row r="202" spans="1:18">
      <c r="A202" s="110" t="s">
        <v>765</v>
      </c>
      <c r="B202" s="110" t="s">
        <v>766</v>
      </c>
      <c r="C202" s="651" t="s">
        <v>767</v>
      </c>
      <c r="D202" s="651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8"/>
      <c r="P202" s="79"/>
    </row>
    <row r="203" spans="1:18">
      <c r="A203" s="78" t="s">
        <v>768</v>
      </c>
      <c r="B203" s="107" t="b">
        <f>AND(SUMIFS(INDEX(kasztok,,7),INDEX(kasztok,,1),választott_kaszt_1)=VLOOKUP(harcos,kasztok,7,FALSE),kaszt_szint_1&gt;=5)</f>
        <v>0</v>
      </c>
      <c r="C203" s="650" t="b">
        <f>AND(SUMIFS(INDEX(kasztok,,7),INDEX(kasztok,,1),választott_kaszt_2)=VLOOKUP(harcos,kasztok,7,FALSE),kaszt_szint_2&gt;=5)</f>
        <v>0</v>
      </c>
      <c r="D203" s="650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8"/>
      <c r="P203" s="79"/>
    </row>
    <row r="204" spans="1:18">
      <c r="A204" s="111" t="s">
        <v>770</v>
      </c>
      <c r="B204" s="107" t="b">
        <f>AND(COUNTIF(bajvívók,választott_kaszt_1)&gt;0,kaszt_szint_1&gt;=5)</f>
        <v>0</v>
      </c>
      <c r="C204" s="650" t="b">
        <f>AND(COUNTIF(bajvívók,választott_kaszt_2)&gt;0,kaszt_szint_2&gt;=5)</f>
        <v>0</v>
      </c>
      <c r="D204" s="650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8"/>
      <c r="P204" s="79"/>
    </row>
    <row r="205" spans="1:18">
      <c r="A205" s="111" t="s">
        <v>769</v>
      </c>
      <c r="B205" s="107" t="b">
        <f>IF(COUNTIF(barbár_kasztok,választott_kaszt_1)&gt;0,AND(RIGHT(választott_kaszt_1,3)&lt;&gt;"pap",kaszt_szint_1&gt;=5),FALSE)</f>
        <v>0</v>
      </c>
      <c r="C205" s="650" t="b">
        <f>IF(COUNTIF(barbár_kasztok,választott_kaszt_2)&gt;0,AND(RIGHT(választott_kaszt_2,3)&lt;&gt;"pap",kaszt_szint_2&gt;=5),FALSE)</f>
        <v>0</v>
      </c>
      <c r="D205" s="650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8"/>
      <c r="P205" s="79"/>
    </row>
    <row r="206" spans="1:18" s="148" customFormat="1">
      <c r="A206" s="78" t="s">
        <v>769</v>
      </c>
      <c r="B206" s="259" t="b">
        <f>AND(választott_kaszt_1=rhó,kaszt_szint_1&gt;=5)</f>
        <v>0</v>
      </c>
      <c r="C206" s="650" t="b">
        <f>AND(választott_kaszt_2=rhó,kaszt_szint_2&gt;=5)</f>
        <v>0</v>
      </c>
      <c r="D206" s="650" t="b">
        <f>AND(választott_kaszt_1=rhó,kaszt_szint_1&gt;=5)</f>
        <v>0</v>
      </c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8"/>
      <c r="P206" s="79"/>
    </row>
    <row r="207" spans="1:18">
      <c r="A207" s="111" t="s">
        <v>771</v>
      </c>
      <c r="B207" s="259" t="b">
        <f>AND(SUMIFS(INDEX(kasztok,,7),INDEX(kasztok,,1),választott_kaszt_1)=VLOOKUP(gladiátor,kasztok,7,FALSE),kaszt_szint_1&gt;=4)</f>
        <v>0</v>
      </c>
      <c r="C207" s="650" t="b">
        <f>AND(SUMIFS(INDEX(kasztok,,7),INDEX(kasztok,,1),választott_kaszt_2)=VLOOKUP(gladiátor,kasztok,7,FALSE),kaszt_szint_2&gt;=4)</f>
        <v>0</v>
      </c>
      <c r="D207" s="650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8"/>
      <c r="P207" s="79"/>
    </row>
    <row r="208" spans="1:18">
      <c r="A208" s="111" t="s">
        <v>772</v>
      </c>
      <c r="B208" s="259" t="b">
        <f>AND(SUMIFS(INDEX(kasztok,,6),INDEX(kasztok,,1),választott_kaszt_1)=VLOOKUP(fejvadász,kasztok,6,FALSE),kaszt_szint_1&gt;=6)</f>
        <v>0</v>
      </c>
      <c r="C208" s="650" t="b">
        <f>AND(SUMIFS(INDEX(kasztok,,6),INDEX(kasztok,,1),választott_kaszt_2)=VLOOKUP(fejvadász,kasztok,6,FALSE),kaszt_szint_2&gt;=6)</f>
        <v>0</v>
      </c>
      <c r="D208" s="650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8"/>
      <c r="P208" s="79"/>
    </row>
    <row r="209" spans="1:16" s="148" customFormat="1">
      <c r="A209" s="111" t="s">
        <v>772</v>
      </c>
      <c r="B209" s="259" t="b">
        <f>AND(OR(választott_kaszt_1=árnyvadász,választott_kaszt_1=shenar),kaszt_szint_1&gt;=6)</f>
        <v>0</v>
      </c>
      <c r="C209" s="650" t="b">
        <f>AND(OR(választott_kaszt_2=árnyvadász,választott_kaszt_2=shenar),kaszt_szint_2&gt;=6)</f>
        <v>0</v>
      </c>
      <c r="D209" s="650" t="b">
        <f>AND(OR(választott_kaszt_1=árnyvadász,választott_kaszt_1=shenar),kaszt_szint_1&gt;=6)</f>
        <v>0</v>
      </c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8"/>
      <c r="P209" s="79"/>
    </row>
    <row r="210" spans="1:16" s="148" customFormat="1">
      <c r="A210" s="111" t="s">
        <v>773</v>
      </c>
      <c r="B210" s="259" t="b">
        <f>AND(SUMIFS(INDEX(kasztok,,7),INDEX(kasztok,,1),választott_kaszt_1)=VLOOKUP(lovag,kasztok,7,FALSE),kaszt_szint_1&gt;=6)</f>
        <v>0</v>
      </c>
      <c r="C210" s="650" t="b">
        <f>AND(SUMIFS(INDEX(kasztok,,7),INDEX(kasztok,,1),választott_kaszt_2)=VLOOKUP(lovag,kasztok,7,FALSE),kaszt_szint_2&gt;=6)</f>
        <v>0</v>
      </c>
      <c r="D210" s="650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8"/>
      <c r="P210" s="79"/>
    </row>
    <row r="211" spans="1:16">
      <c r="A211" s="112"/>
      <c r="B211" s="113"/>
      <c r="C211" s="114"/>
      <c r="D211" s="114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8"/>
      <c r="P211" s="79"/>
    </row>
    <row r="212" spans="1:16">
      <c r="A212" s="79"/>
      <c r="B212" s="78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8"/>
      <c r="P212" s="79"/>
    </row>
    <row r="213" spans="1:16">
      <c r="A213" s="4"/>
      <c r="B213" s="5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5"/>
      <c r="P213" s="4"/>
    </row>
    <row r="214" spans="1:16">
      <c r="A214" s="4"/>
      <c r="B214" s="5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5"/>
      <c r="P214" s="4"/>
    </row>
    <row r="215" spans="1:16">
      <c r="A215" s="4"/>
      <c r="B215" s="5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5"/>
      <c r="P215" s="4"/>
    </row>
    <row r="216" spans="1:16">
      <c r="A216" s="4"/>
      <c r="B216" s="5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5"/>
      <c r="P216" s="4"/>
    </row>
    <row r="217" spans="1:16">
      <c r="A217" s="4"/>
      <c r="B217" s="5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5"/>
      <c r="P217" s="4"/>
    </row>
    <row r="218" spans="1:16">
      <c r="A218" s="4"/>
      <c r="B218" s="5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5"/>
      <c r="P218" s="4"/>
    </row>
    <row r="219" spans="1:16">
      <c r="A219" s="4"/>
      <c r="B219" s="5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5"/>
      <c r="P219" s="4"/>
    </row>
    <row r="220" spans="1:16">
      <c r="A220" s="4"/>
      <c r="B220" s="5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5"/>
      <c r="P220" s="4"/>
    </row>
    <row r="221" spans="1:16">
      <c r="A221" s="4"/>
      <c r="B221" s="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5"/>
      <c r="P221" s="4"/>
    </row>
    <row r="222" spans="1:16">
      <c r="A222" s="4"/>
      <c r="B222" s="5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5"/>
      <c r="P222" s="4"/>
    </row>
    <row r="223" spans="1:16">
      <c r="A223" s="4"/>
      <c r="B223" s="5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5"/>
      <c r="P223" s="4"/>
    </row>
    <row r="224" spans="1:16">
      <c r="A224" s="4"/>
      <c r="B224" s="5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5"/>
      <c r="P224" s="4"/>
    </row>
    <row r="225" spans="1:16">
      <c r="A225" s="4"/>
      <c r="B225" s="5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5"/>
      <c r="P225" s="4"/>
    </row>
    <row r="226" spans="1:16">
      <c r="A226" s="4"/>
      <c r="B226" s="5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5"/>
      <c r="P226" s="4"/>
    </row>
    <row r="227" spans="1:16">
      <c r="A227" s="4"/>
      <c r="B227" s="5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5"/>
      <c r="P227" s="4"/>
    </row>
    <row r="228" spans="1:16">
      <c r="A228" s="4"/>
      <c r="B228" s="5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5"/>
      <c r="P228" s="4"/>
    </row>
    <row r="229" spans="1:16">
      <c r="A229" s="4"/>
      <c r="B229" s="5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5"/>
      <c r="P229" s="4"/>
    </row>
    <row r="230" spans="1:16">
      <c r="A230" s="4"/>
      <c r="B230" s="5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5"/>
      <c r="P230" s="4"/>
    </row>
    <row r="231" spans="1:16">
      <c r="A231" s="4"/>
      <c r="B231" s="5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5"/>
      <c r="P231" s="4"/>
    </row>
    <row r="232" spans="1:16">
      <c r="A232" s="4"/>
      <c r="B232" s="5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5"/>
      <c r="P232" s="4"/>
    </row>
    <row r="233" spans="1:16">
      <c r="A233" s="4"/>
      <c r="B233" s="5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5"/>
      <c r="P233" s="4"/>
    </row>
    <row r="234" spans="1:16">
      <c r="A234" s="4"/>
      <c r="B234" s="5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5"/>
      <c r="P234" s="4"/>
    </row>
    <row r="235" spans="1:16">
      <c r="A235" s="4"/>
      <c r="B235" s="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5"/>
      <c r="P235" s="4"/>
    </row>
    <row r="236" spans="1:16">
      <c r="A236" s="4"/>
      <c r="B236" s="5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5"/>
      <c r="P236" s="4"/>
    </row>
    <row r="237" spans="1:16">
      <c r="A237" s="4"/>
      <c r="B237" s="5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5"/>
      <c r="P237" s="4"/>
    </row>
    <row r="238" spans="1:16">
      <c r="A238" s="4"/>
      <c r="B238" s="5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5"/>
      <c r="P238" s="4"/>
    </row>
    <row r="239" spans="1:16">
      <c r="A239" s="4"/>
      <c r="B239" s="5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5"/>
      <c r="P239" s="4"/>
    </row>
    <row r="240" spans="1:16">
      <c r="A240" s="4"/>
      <c r="B240" s="5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5"/>
      <c r="P240" s="4"/>
    </row>
    <row r="241" spans="1:16">
      <c r="A241" s="4"/>
      <c r="B241" s="5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5"/>
      <c r="P241" s="4"/>
    </row>
    <row r="242" spans="1:16">
      <c r="A242" s="4"/>
      <c r="B242" s="5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5"/>
      <c r="P242" s="4"/>
    </row>
    <row r="243" spans="1:16">
      <c r="A243" s="4"/>
      <c r="B243" s="5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5"/>
      <c r="P243" s="4"/>
    </row>
    <row r="244" spans="1:16">
      <c r="A244" s="4"/>
      <c r="B244" s="5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5"/>
      <c r="P244" s="4"/>
    </row>
    <row r="245" spans="1:16">
      <c r="A245" s="4"/>
      <c r="B245" s="5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5"/>
      <c r="P245" s="4"/>
    </row>
    <row r="246" spans="1:16">
      <c r="A246" s="4"/>
      <c r="B246" s="5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5"/>
      <c r="P246" s="4"/>
    </row>
    <row r="247" spans="1:16">
      <c r="A247" s="4"/>
      <c r="B247" s="5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5"/>
      <c r="P247" s="4"/>
    </row>
    <row r="248" spans="1:16">
      <c r="A248" s="4"/>
      <c r="B248" s="5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5"/>
      <c r="P248" s="4"/>
    </row>
    <row r="249" spans="1:16">
      <c r="A249" s="4"/>
      <c r="B249" s="5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5"/>
      <c r="P249" s="4"/>
    </row>
    <row r="250" spans="1:16">
      <c r="A250" s="4"/>
      <c r="B250" s="5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5"/>
      <c r="P250" s="4"/>
    </row>
    <row r="251" spans="1:16">
      <c r="A251" s="4"/>
      <c r="B251" s="5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5"/>
      <c r="P251" s="4"/>
    </row>
    <row r="252" spans="1:16">
      <c r="A252" s="4"/>
      <c r="B252" s="5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5"/>
      <c r="P252" s="4"/>
    </row>
    <row r="253" spans="1:16">
      <c r="A253" s="4"/>
      <c r="B253" s="5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5"/>
      <c r="P253" s="4"/>
    </row>
    <row r="254" spans="1:16">
      <c r="A254" s="4"/>
      <c r="B254" s="5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5"/>
      <c r="P254" s="4"/>
    </row>
    <row r="255" spans="1:16">
      <c r="A255" s="4"/>
      <c r="B255" s="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5"/>
      <c r="P255" s="4"/>
    </row>
    <row r="256" spans="1:16">
      <c r="A256" s="4"/>
      <c r="B256" s="5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5"/>
      <c r="P256" s="4"/>
    </row>
    <row r="257" spans="1:16">
      <c r="A257" s="4"/>
      <c r="B257" s="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5"/>
      <c r="P257" s="4"/>
    </row>
    <row r="258" spans="1:16">
      <c r="A258" s="4"/>
      <c r="B258" s="5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5"/>
      <c r="P258" s="4"/>
    </row>
    <row r="259" spans="1:16">
      <c r="A259" s="4"/>
      <c r="B259" s="5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5"/>
      <c r="P259" s="4"/>
    </row>
    <row r="260" spans="1:16">
      <c r="A260" s="4"/>
      <c r="B260" s="5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5"/>
      <c r="P260" s="4"/>
    </row>
    <row r="261" spans="1:16">
      <c r="A261" s="4"/>
      <c r="B261" s="5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5"/>
      <c r="P261" s="4"/>
    </row>
    <row r="262" spans="1:16">
      <c r="A262" s="4"/>
      <c r="B262" s="5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5"/>
      <c r="P262" s="4"/>
    </row>
    <row r="263" spans="1:16">
      <c r="A263" s="4"/>
      <c r="B263" s="5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5"/>
      <c r="P263" s="4"/>
    </row>
    <row r="264" spans="1:16">
      <c r="A264" s="4"/>
      <c r="B264" s="5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5"/>
      <c r="P264" s="4"/>
    </row>
    <row r="265" spans="1:16">
      <c r="A265" s="4"/>
      <c r="B265" s="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5"/>
      <c r="P265" s="4"/>
    </row>
    <row r="266" spans="1:16">
      <c r="A266" s="4"/>
      <c r="B266" s="5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5"/>
      <c r="P266" s="4"/>
    </row>
    <row r="267" spans="1:16">
      <c r="A267" s="4"/>
      <c r="B267" s="5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5"/>
      <c r="P267" s="4"/>
    </row>
    <row r="268" spans="1:16">
      <c r="A268" s="4"/>
      <c r="B268" s="5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5"/>
      <c r="P268" s="4"/>
    </row>
    <row r="269" spans="1:16">
      <c r="A269" s="4"/>
      <c r="B269" s="5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5"/>
      <c r="P269" s="4"/>
    </row>
    <row r="270" spans="1:16">
      <c r="A270" s="4"/>
      <c r="B270" s="5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5"/>
      <c r="P270" s="4"/>
    </row>
    <row r="271" spans="1:16">
      <c r="A271" s="4"/>
      <c r="B271" s="5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5"/>
      <c r="P271" s="4"/>
    </row>
    <row r="272" spans="1:16">
      <c r="A272" s="4"/>
      <c r="B272" s="5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5"/>
      <c r="P272" s="4"/>
    </row>
    <row r="273" spans="1:16">
      <c r="A273" s="4"/>
      <c r="B273" s="5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5"/>
      <c r="P273" s="4"/>
    </row>
    <row r="274" spans="1:16">
      <c r="A274" s="4"/>
      <c r="B274" s="5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5"/>
      <c r="P274" s="4"/>
    </row>
    <row r="275" spans="1:16">
      <c r="A275" s="4"/>
      <c r="B275" s="5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5"/>
      <c r="P275" s="4"/>
    </row>
    <row r="276" spans="1:16">
      <c r="A276" s="4"/>
      <c r="B276" s="5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5"/>
      <c r="P276" s="4"/>
    </row>
    <row r="277" spans="1:16">
      <c r="A277" s="4"/>
      <c r="B277" s="5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5"/>
      <c r="P277" s="4"/>
    </row>
    <row r="278" spans="1:16">
      <c r="A278" s="4"/>
      <c r="B278" s="5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5"/>
      <c r="P278" s="4"/>
    </row>
    <row r="279" spans="1:16">
      <c r="A279" s="4"/>
      <c r="B279" s="5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5"/>
      <c r="P279" s="4"/>
    </row>
    <row r="280" spans="1:16">
      <c r="A280" s="4"/>
      <c r="B280" s="5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5"/>
      <c r="P280" s="4"/>
    </row>
    <row r="281" spans="1:16">
      <c r="A281" s="4"/>
      <c r="B281" s="5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5"/>
      <c r="P281" s="4"/>
    </row>
    <row r="282" spans="1:16">
      <c r="A282" s="4"/>
      <c r="B282" s="5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5"/>
      <c r="P282" s="4"/>
    </row>
    <row r="283" spans="1:16">
      <c r="A283" s="4"/>
      <c r="B283" s="5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5"/>
      <c r="P283" s="4"/>
    </row>
    <row r="284" spans="1:16">
      <c r="A284" s="4"/>
      <c r="B284" s="5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5"/>
      <c r="P284" s="4"/>
    </row>
    <row r="285" spans="1:16">
      <c r="A285" s="4"/>
      <c r="B285" s="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5"/>
      <c r="P285" s="4"/>
    </row>
    <row r="286" spans="1:16">
      <c r="A286" s="4"/>
      <c r="B286" s="5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5"/>
      <c r="P286" s="4"/>
    </row>
    <row r="287" spans="1:16">
      <c r="A287" s="4"/>
      <c r="B287" s="5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5"/>
      <c r="P287" s="4"/>
    </row>
    <row r="288" spans="1:16">
      <c r="A288" s="4"/>
      <c r="B288" s="5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5"/>
      <c r="P288" s="4"/>
    </row>
    <row r="289" spans="1:16">
      <c r="A289" s="4"/>
      <c r="B289" s="5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5"/>
      <c r="P289" s="4"/>
    </row>
    <row r="290" spans="1:16">
      <c r="A290" s="4"/>
      <c r="B290" s="5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5"/>
      <c r="P290" s="4"/>
    </row>
    <row r="291" spans="1:16">
      <c r="A291" s="4"/>
      <c r="B291" s="5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5"/>
      <c r="P291" s="4"/>
    </row>
    <row r="292" spans="1:16">
      <c r="A292" s="4"/>
      <c r="B292" s="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5"/>
      <c r="P292" s="4"/>
    </row>
    <row r="293" spans="1:16">
      <c r="A293" s="4"/>
      <c r="B293" s="5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5"/>
      <c r="P293" s="4"/>
    </row>
    <row r="294" spans="1:16">
      <c r="A294" s="4"/>
      <c r="B294" s="5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5"/>
      <c r="P294" s="4"/>
    </row>
    <row r="295" spans="1:16">
      <c r="A295" s="4"/>
      <c r="B295" s="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5"/>
      <c r="P295" s="4"/>
    </row>
    <row r="296" spans="1:16">
      <c r="A296" s="4"/>
      <c r="B296" s="5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5"/>
      <c r="P296" s="4"/>
    </row>
    <row r="297" spans="1:16">
      <c r="A297" s="4"/>
      <c r="B297" s="5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5"/>
      <c r="P297" s="4"/>
    </row>
    <row r="298" spans="1:16">
      <c r="A298" s="4"/>
      <c r="B298" s="5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5"/>
      <c r="P298" s="4"/>
    </row>
    <row r="299" spans="1:16">
      <c r="A299" s="4"/>
      <c r="B299" s="5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5"/>
      <c r="P299" s="4"/>
    </row>
    <row r="300" spans="1:16">
      <c r="A300" s="4"/>
      <c r="B300" s="5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5"/>
      <c r="P300" s="4"/>
    </row>
    <row r="301" spans="1:16">
      <c r="A301" s="4"/>
      <c r="B301" s="5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5"/>
      <c r="P301" s="4"/>
    </row>
    <row r="302" spans="1:16">
      <c r="A302" s="4"/>
      <c r="B302" s="5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5"/>
      <c r="P302" s="4"/>
    </row>
    <row r="303" spans="1:16">
      <c r="A303" s="4"/>
      <c r="B303" s="5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5"/>
      <c r="P303" s="4"/>
    </row>
    <row r="304" spans="1:16">
      <c r="A304" s="4"/>
      <c r="B304" s="5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5"/>
      <c r="P304" s="4"/>
    </row>
    <row r="305" spans="1:16">
      <c r="A305" s="4"/>
      <c r="B305" s="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5"/>
      <c r="P305" s="4"/>
    </row>
    <row r="306" spans="1:16">
      <c r="A306" s="4"/>
      <c r="B306" s="5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5"/>
      <c r="P306" s="4"/>
    </row>
    <row r="307" spans="1:16">
      <c r="A307" s="4"/>
      <c r="B307" s="5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5"/>
      <c r="P307" s="4"/>
    </row>
    <row r="308" spans="1:16">
      <c r="A308" s="4"/>
      <c r="B308" s="5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5"/>
      <c r="P308" s="4"/>
    </row>
    <row r="309" spans="1:16">
      <c r="A309" s="4"/>
      <c r="B309" s="5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5"/>
      <c r="P309" s="4"/>
    </row>
    <row r="310" spans="1:16">
      <c r="A310" s="4"/>
      <c r="B310" s="5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5"/>
      <c r="P310" s="4"/>
    </row>
    <row r="311" spans="1:16">
      <c r="A311" s="4"/>
      <c r="B311" s="5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5"/>
      <c r="P311" s="4"/>
    </row>
    <row r="312" spans="1:16">
      <c r="A312" s="4"/>
      <c r="B312" s="5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5"/>
      <c r="P312" s="4"/>
    </row>
    <row r="313" spans="1:16">
      <c r="A313" s="4"/>
      <c r="B313" s="5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5"/>
      <c r="P313" s="4"/>
    </row>
    <row r="314" spans="1:16">
      <c r="A314" s="4"/>
      <c r="B314" s="5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5"/>
      <c r="P314" s="4"/>
    </row>
    <row r="315" spans="1:16">
      <c r="A315" s="4"/>
      <c r="B315" s="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5"/>
      <c r="P315" s="4"/>
    </row>
    <row r="316" spans="1:16">
      <c r="A316" s="4"/>
      <c r="B316" s="5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5"/>
      <c r="P316" s="4"/>
    </row>
    <row r="317" spans="1:16">
      <c r="A317" s="4"/>
      <c r="B317" s="5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5"/>
      <c r="P317" s="4"/>
    </row>
    <row r="318" spans="1:16">
      <c r="A318" s="4"/>
      <c r="B318" s="5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5"/>
      <c r="P318" s="4"/>
    </row>
    <row r="319" spans="1:16">
      <c r="A319" s="4"/>
      <c r="B319" s="5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5"/>
      <c r="P319" s="4"/>
    </row>
    <row r="320" spans="1:16">
      <c r="A320" s="4"/>
      <c r="B320" s="5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5"/>
      <c r="P320" s="4"/>
    </row>
    <row r="321" spans="1:16">
      <c r="A321" s="4"/>
      <c r="B321" s="5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5"/>
      <c r="P321" s="4"/>
    </row>
    <row r="322" spans="1:16">
      <c r="A322" s="4"/>
      <c r="B322" s="5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5"/>
      <c r="P322" s="4"/>
    </row>
    <row r="323" spans="1:16">
      <c r="A323" s="4"/>
      <c r="B323" s="5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5"/>
      <c r="P323" s="4"/>
    </row>
    <row r="324" spans="1:16">
      <c r="A324" s="4"/>
      <c r="B324" s="5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5"/>
      <c r="P324" s="4"/>
    </row>
    <row r="325" spans="1:16">
      <c r="A325" s="4"/>
      <c r="B325" s="5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5"/>
      <c r="P325" s="4"/>
    </row>
    <row r="326" spans="1:16">
      <c r="A326" s="4"/>
      <c r="B326" s="5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5"/>
      <c r="P326" s="4"/>
    </row>
    <row r="327" spans="1:16">
      <c r="A327" s="4"/>
      <c r="B327" s="5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5"/>
      <c r="P327" s="4"/>
    </row>
    <row r="328" spans="1:16">
      <c r="A328" s="4"/>
      <c r="B328" s="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5"/>
      <c r="P328" s="4"/>
    </row>
    <row r="329" spans="1:16">
      <c r="A329" s="4"/>
      <c r="B329" s="5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5"/>
      <c r="P329" s="4"/>
    </row>
    <row r="330" spans="1:16">
      <c r="A330" s="4"/>
      <c r="B330" s="5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5"/>
      <c r="P330" s="4"/>
    </row>
    <row r="331" spans="1:16">
      <c r="A331" s="4"/>
      <c r="B331" s="5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5"/>
      <c r="P331" s="4"/>
    </row>
    <row r="332" spans="1:16">
      <c r="A332" s="4"/>
      <c r="B332" s="5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5"/>
      <c r="P332" s="4"/>
    </row>
    <row r="333" spans="1:16">
      <c r="A333" s="4"/>
      <c r="B333" s="5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5"/>
      <c r="P333" s="4"/>
    </row>
    <row r="334" spans="1:16">
      <c r="A334" s="4"/>
      <c r="B334" s="5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5"/>
      <c r="P334" s="4"/>
    </row>
    <row r="335" spans="1:16">
      <c r="A335" s="4"/>
      <c r="B335" s="5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5"/>
      <c r="P335" s="4"/>
    </row>
    <row r="336" spans="1:16">
      <c r="A336" s="4"/>
      <c r="B336" s="5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5"/>
      <c r="P336" s="4"/>
    </row>
    <row r="337" spans="1:16">
      <c r="A337" s="4"/>
      <c r="B337" s="5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5"/>
      <c r="P337" s="4"/>
    </row>
    <row r="338" spans="1:16">
      <c r="A338" s="4"/>
      <c r="B338" s="5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5"/>
      <c r="P338" s="4"/>
    </row>
    <row r="339" spans="1:16">
      <c r="A339" s="4"/>
      <c r="B339" s="5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5"/>
      <c r="P339" s="4"/>
    </row>
    <row r="340" spans="1:16">
      <c r="A340" s="4"/>
      <c r="B340" s="5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5"/>
      <c r="P340" s="4"/>
    </row>
    <row r="341" spans="1:16">
      <c r="A341" s="4"/>
      <c r="B341" s="5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5"/>
      <c r="P341" s="4"/>
    </row>
    <row r="342" spans="1:16">
      <c r="A342" s="4"/>
      <c r="B342" s="5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5"/>
      <c r="P342" s="4"/>
    </row>
    <row r="343" spans="1:16">
      <c r="A343" s="4"/>
      <c r="B343" s="5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5"/>
      <c r="P343" s="4"/>
    </row>
    <row r="344" spans="1:16">
      <c r="A344" s="4"/>
      <c r="B344" s="5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5"/>
      <c r="P344" s="4"/>
    </row>
    <row r="345" spans="1:16">
      <c r="A345" s="4"/>
      <c r="B345" s="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5"/>
      <c r="P345" s="4"/>
    </row>
    <row r="346" spans="1:16">
      <c r="A346" s="4"/>
      <c r="B346" s="5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5"/>
      <c r="P346" s="4"/>
    </row>
    <row r="347" spans="1:16">
      <c r="A347" s="4"/>
      <c r="B347" s="5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5"/>
      <c r="P347" s="4"/>
    </row>
    <row r="348" spans="1:16">
      <c r="A348" s="4"/>
      <c r="B348" s="5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5"/>
      <c r="P348" s="4"/>
    </row>
    <row r="349" spans="1:16">
      <c r="A349" s="4"/>
      <c r="B349" s="5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5"/>
      <c r="P349" s="4"/>
    </row>
    <row r="350" spans="1:16">
      <c r="A350" s="4"/>
      <c r="B350" s="5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5"/>
      <c r="P350" s="4"/>
    </row>
    <row r="351" spans="1:16">
      <c r="A351" s="4"/>
      <c r="B351" s="5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5"/>
      <c r="P351" s="4"/>
    </row>
    <row r="352" spans="1:16">
      <c r="A352" s="4"/>
      <c r="B352" s="5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5"/>
      <c r="P352" s="4"/>
    </row>
    <row r="353" spans="1:16">
      <c r="A353" s="4"/>
      <c r="B353" s="5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5"/>
      <c r="P353" s="4"/>
    </row>
    <row r="354" spans="1:16">
      <c r="A354" s="4"/>
      <c r="B354" s="5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5"/>
      <c r="P354" s="4"/>
    </row>
    <row r="355" spans="1:16">
      <c r="A355" s="4"/>
      <c r="B355" s="5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5"/>
      <c r="P355" s="4"/>
    </row>
    <row r="356" spans="1:16">
      <c r="A356" s="4"/>
      <c r="B356" s="5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5"/>
      <c r="P356" s="4"/>
    </row>
    <row r="357" spans="1:16">
      <c r="A357" s="4"/>
      <c r="B357" s="5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5"/>
      <c r="P357" s="4"/>
    </row>
    <row r="358" spans="1:16">
      <c r="A358" s="4"/>
      <c r="B358" s="5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5"/>
      <c r="P358" s="4"/>
    </row>
    <row r="359" spans="1:16">
      <c r="A359" s="4"/>
      <c r="B359" s="5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5"/>
      <c r="P359" s="4"/>
    </row>
    <row r="360" spans="1:16">
      <c r="A360" s="4"/>
      <c r="B360" s="5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5"/>
      <c r="P360" s="4"/>
    </row>
    <row r="361" spans="1:16">
      <c r="A361" s="4"/>
      <c r="B361" s="5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5"/>
      <c r="P361" s="4"/>
    </row>
    <row r="362" spans="1:16">
      <c r="A362" s="4"/>
      <c r="B362" s="5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5"/>
      <c r="P362" s="4"/>
    </row>
    <row r="363" spans="1:16">
      <c r="A363" s="4"/>
      <c r="B363" s="5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5"/>
      <c r="P363" s="4"/>
    </row>
    <row r="364" spans="1:16">
      <c r="A364" s="4"/>
      <c r="B364" s="5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5"/>
      <c r="P364" s="4"/>
    </row>
    <row r="365" spans="1:16">
      <c r="A365" s="4"/>
      <c r="B365" s="5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5"/>
      <c r="P365" s="4"/>
    </row>
    <row r="366" spans="1:16">
      <c r="A366" s="4"/>
      <c r="B366" s="5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5"/>
      <c r="P366" s="4"/>
    </row>
    <row r="367" spans="1:16">
      <c r="A367" s="4"/>
      <c r="B367" s="5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5"/>
      <c r="P367" s="4"/>
    </row>
    <row r="368" spans="1:16">
      <c r="A368" s="4"/>
      <c r="B368" s="5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5"/>
      <c r="P368" s="4"/>
    </row>
    <row r="369" spans="1:16">
      <c r="A369" s="4"/>
      <c r="B369" s="5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5"/>
      <c r="P369" s="4"/>
    </row>
    <row r="370" spans="1:16">
      <c r="A370" s="4"/>
      <c r="B370" s="5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5"/>
      <c r="P370" s="4"/>
    </row>
    <row r="371" spans="1:16">
      <c r="A371" s="4"/>
      <c r="B371" s="5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5"/>
      <c r="P371" s="4"/>
    </row>
    <row r="372" spans="1:16">
      <c r="A372" s="4"/>
      <c r="B372" s="5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5"/>
      <c r="P372" s="4"/>
    </row>
    <row r="373" spans="1:16">
      <c r="A373" s="4"/>
      <c r="B373" s="5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5"/>
      <c r="P373" s="4"/>
    </row>
    <row r="374" spans="1:16">
      <c r="A374" s="4"/>
      <c r="B374" s="5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5"/>
      <c r="P374" s="4"/>
    </row>
    <row r="375" spans="1:16">
      <c r="A375" s="4"/>
      <c r="B375" s="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5"/>
      <c r="P375" s="4"/>
    </row>
    <row r="376" spans="1:16">
      <c r="A376" s="4"/>
      <c r="B376" s="5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5"/>
      <c r="P376" s="4"/>
    </row>
    <row r="377" spans="1:16">
      <c r="A377" s="4"/>
      <c r="B377" s="5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5"/>
      <c r="P377" s="4"/>
    </row>
    <row r="378" spans="1:16">
      <c r="A378" s="4"/>
      <c r="B378" s="5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5"/>
      <c r="P378" s="4"/>
    </row>
    <row r="379" spans="1:16">
      <c r="A379" s="4"/>
      <c r="B379" s="5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5"/>
      <c r="P379" s="4"/>
    </row>
    <row r="380" spans="1:16">
      <c r="A380" s="4"/>
      <c r="B380" s="5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5"/>
      <c r="P380" s="4"/>
    </row>
    <row r="381" spans="1:16">
      <c r="A381" s="4"/>
      <c r="B381" s="5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5"/>
      <c r="P381" s="4"/>
    </row>
    <row r="382" spans="1:16">
      <c r="A382" s="4"/>
      <c r="B382" s="5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5"/>
      <c r="P382" s="4"/>
    </row>
    <row r="383" spans="1:16">
      <c r="A383" s="4"/>
      <c r="B383" s="5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5"/>
      <c r="P383" s="4"/>
    </row>
    <row r="384" spans="1:16">
      <c r="A384" s="4"/>
      <c r="B384" s="5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5"/>
      <c r="P384" s="4"/>
    </row>
    <row r="385" spans="1:16">
      <c r="A385" s="4"/>
      <c r="B385" s="5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5"/>
      <c r="P385" s="4"/>
    </row>
    <row r="386" spans="1:16">
      <c r="A386" s="4"/>
      <c r="B386" s="5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5"/>
      <c r="P386" s="4"/>
    </row>
    <row r="387" spans="1:16">
      <c r="A387" s="4"/>
      <c r="B387" s="5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5"/>
      <c r="P387" s="4"/>
    </row>
    <row r="388" spans="1:16">
      <c r="A388" s="4"/>
      <c r="B388" s="5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5"/>
      <c r="P388" s="4"/>
    </row>
    <row r="389" spans="1:16">
      <c r="A389" s="4"/>
      <c r="B389" s="5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5"/>
      <c r="P389" s="4"/>
    </row>
    <row r="390" spans="1:16">
      <c r="A390" s="4"/>
      <c r="B390" s="5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5"/>
      <c r="P390" s="4"/>
    </row>
    <row r="391" spans="1:16">
      <c r="A391" s="4"/>
      <c r="B391" s="5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5"/>
      <c r="P391" s="4"/>
    </row>
    <row r="392" spans="1:16">
      <c r="A392" s="4"/>
      <c r="B392" s="5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5"/>
      <c r="P392" s="4"/>
    </row>
    <row r="393" spans="1:16">
      <c r="A393" s="4"/>
      <c r="B393" s="5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5"/>
      <c r="P393" s="4"/>
    </row>
    <row r="394" spans="1:16">
      <c r="A394" s="4"/>
      <c r="B394" s="5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5"/>
      <c r="P394" s="4"/>
    </row>
    <row r="395" spans="1:16">
      <c r="A395" s="4"/>
      <c r="B395" s="5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5"/>
      <c r="P395" s="4"/>
    </row>
    <row r="396" spans="1:16">
      <c r="A396" s="4"/>
      <c r="B396" s="5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5"/>
      <c r="P396" s="4"/>
    </row>
    <row r="397" spans="1:16">
      <c r="A397" s="4"/>
      <c r="B397" s="5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5"/>
      <c r="P397" s="4"/>
    </row>
    <row r="398" spans="1:16">
      <c r="A398" s="4"/>
      <c r="B398" s="5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5"/>
      <c r="P398" s="4"/>
    </row>
    <row r="399" spans="1:16">
      <c r="A399" s="4"/>
      <c r="B399" s="5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5"/>
      <c r="P399" s="4"/>
    </row>
    <row r="400" spans="1:16">
      <c r="A400" s="4"/>
      <c r="B400" s="5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5"/>
      <c r="P400" s="4"/>
    </row>
    <row r="401" spans="1:16">
      <c r="A401" s="4"/>
      <c r="B401" s="5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5"/>
      <c r="P401" s="4"/>
    </row>
    <row r="402" spans="1:16">
      <c r="A402" s="4"/>
      <c r="B402" s="5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5"/>
      <c r="P402" s="4"/>
    </row>
    <row r="403" spans="1:16">
      <c r="A403" s="4"/>
      <c r="B403" s="5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5"/>
      <c r="P403" s="4"/>
    </row>
    <row r="404" spans="1:16">
      <c r="A404" s="4"/>
      <c r="B404" s="5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5"/>
      <c r="P404" s="4"/>
    </row>
    <row r="405" spans="1:16">
      <c r="A405" s="4"/>
      <c r="B405" s="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5"/>
      <c r="P405" s="4"/>
    </row>
    <row r="406" spans="1:16">
      <c r="A406" s="4"/>
      <c r="B406" s="5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5"/>
      <c r="P406" s="4"/>
    </row>
    <row r="407" spans="1:16">
      <c r="A407" s="4"/>
      <c r="B407" s="5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5"/>
      <c r="P407" s="4"/>
    </row>
    <row r="408" spans="1:16">
      <c r="A408" s="4"/>
      <c r="B408" s="5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5"/>
      <c r="P408" s="4"/>
    </row>
    <row r="409" spans="1:16">
      <c r="A409" s="4"/>
      <c r="B409" s="5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5"/>
      <c r="P409" s="4"/>
    </row>
    <row r="410" spans="1:16">
      <c r="A410" s="4"/>
      <c r="B410" s="5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5"/>
      <c r="P410" s="4"/>
    </row>
    <row r="411" spans="1:16">
      <c r="A411" s="4"/>
      <c r="B411" s="5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5"/>
      <c r="P411" s="4"/>
    </row>
    <row r="412" spans="1:16">
      <c r="A412" s="4"/>
      <c r="B412" s="5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5"/>
      <c r="P412" s="4"/>
    </row>
    <row r="413" spans="1:16">
      <c r="A413" s="4"/>
      <c r="B413" s="5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5"/>
      <c r="P413" s="4"/>
    </row>
    <row r="414" spans="1:16">
      <c r="A414" s="4"/>
      <c r="B414" s="5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5"/>
      <c r="P414" s="4"/>
    </row>
    <row r="415" spans="1:16">
      <c r="A415" s="4"/>
      <c r="B415" s="5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5"/>
      <c r="P415" s="4"/>
    </row>
    <row r="416" spans="1:16">
      <c r="A416" s="4"/>
      <c r="B416" s="5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5"/>
      <c r="P416" s="4"/>
    </row>
    <row r="417" spans="1:16">
      <c r="A417" s="4"/>
      <c r="B417" s="5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5"/>
      <c r="P417" s="4"/>
    </row>
    <row r="418" spans="1:16">
      <c r="A418" s="4"/>
      <c r="B418" s="5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5"/>
      <c r="P418" s="4"/>
    </row>
    <row r="419" spans="1:16">
      <c r="A419" s="4"/>
      <c r="B419" s="5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5"/>
      <c r="P419" s="4"/>
    </row>
    <row r="420" spans="1:16">
      <c r="A420" s="4"/>
      <c r="B420" s="5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5"/>
      <c r="P420" s="4"/>
    </row>
    <row r="421" spans="1:16">
      <c r="A421" s="4"/>
      <c r="B421" s="5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5"/>
      <c r="P421" s="4"/>
    </row>
    <row r="422" spans="1:16">
      <c r="A422" s="4"/>
      <c r="B422" s="5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5"/>
      <c r="P422" s="4"/>
    </row>
    <row r="423" spans="1:16">
      <c r="A423" s="4"/>
      <c r="B423" s="5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5"/>
      <c r="P423" s="4"/>
    </row>
    <row r="424" spans="1:16">
      <c r="A424" s="4"/>
      <c r="B424" s="5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5"/>
      <c r="P424" s="4"/>
    </row>
    <row r="425" spans="1:16">
      <c r="A425" s="4"/>
      <c r="B425" s="5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5"/>
      <c r="P425" s="4"/>
    </row>
    <row r="426" spans="1:16">
      <c r="A426" s="4"/>
      <c r="B426" s="5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5"/>
      <c r="P426" s="4"/>
    </row>
    <row r="427" spans="1:16">
      <c r="A427" s="4"/>
      <c r="B427" s="5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5"/>
      <c r="P427" s="4"/>
    </row>
    <row r="428" spans="1:16">
      <c r="A428" s="4"/>
      <c r="B428" s="5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5"/>
      <c r="P428" s="4"/>
    </row>
    <row r="429" spans="1:16">
      <c r="A429" s="4"/>
      <c r="B429" s="5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5"/>
      <c r="P429" s="4"/>
    </row>
    <row r="430" spans="1:16">
      <c r="A430" s="4"/>
      <c r="B430" s="5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5"/>
      <c r="P430" s="4"/>
    </row>
    <row r="431" spans="1:16">
      <c r="A431" s="4"/>
      <c r="B431" s="5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5"/>
      <c r="P431" s="4"/>
    </row>
    <row r="432" spans="1:16">
      <c r="A432" s="4"/>
      <c r="B432" s="5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5"/>
      <c r="P432" s="4"/>
    </row>
    <row r="433" spans="1:16">
      <c r="A433" s="4"/>
      <c r="B433" s="5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5"/>
      <c r="P433" s="4"/>
    </row>
    <row r="434" spans="1:16">
      <c r="A434" s="4"/>
      <c r="B434" s="5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5"/>
      <c r="P434" s="4"/>
    </row>
    <row r="435" spans="1:16">
      <c r="A435" s="4"/>
      <c r="B435" s="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5"/>
      <c r="P435" s="4"/>
    </row>
    <row r="436" spans="1:16">
      <c r="A436" s="4"/>
      <c r="B436" s="5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5"/>
      <c r="P436" s="4"/>
    </row>
    <row r="437" spans="1:16">
      <c r="A437" s="4"/>
      <c r="B437" s="5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5"/>
      <c r="P437" s="4"/>
    </row>
    <row r="438" spans="1:16">
      <c r="A438" s="4"/>
      <c r="B438" s="5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5"/>
      <c r="P438" s="4"/>
    </row>
    <row r="439" spans="1:16">
      <c r="A439" s="4"/>
      <c r="B439" s="5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5"/>
      <c r="P439" s="4"/>
    </row>
    <row r="440" spans="1:16">
      <c r="A440" s="4"/>
      <c r="B440" s="5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5"/>
      <c r="P440" s="4"/>
    </row>
    <row r="441" spans="1:16">
      <c r="A441" s="4"/>
      <c r="B441" s="5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5"/>
      <c r="P441" s="4"/>
    </row>
    <row r="442" spans="1:16">
      <c r="A442" s="4"/>
      <c r="B442" s="5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5"/>
      <c r="P442" s="4"/>
    </row>
    <row r="443" spans="1:16">
      <c r="A443" s="4"/>
      <c r="B443" s="5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5"/>
      <c r="P443" s="4"/>
    </row>
    <row r="444" spans="1:16">
      <c r="A444" s="4"/>
      <c r="B444" s="5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5"/>
      <c r="P444" s="4"/>
    </row>
    <row r="445" spans="1:16">
      <c r="A445" s="4"/>
      <c r="B445" s="5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5"/>
      <c r="P445" s="4"/>
    </row>
    <row r="446" spans="1:16">
      <c r="A446" s="4"/>
      <c r="B446" s="5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5"/>
      <c r="P446" s="4"/>
    </row>
    <row r="447" spans="1:16">
      <c r="A447" s="4"/>
      <c r="B447" s="5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5"/>
      <c r="P447" s="4"/>
    </row>
    <row r="448" spans="1:16">
      <c r="A448" s="4"/>
      <c r="B448" s="5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5"/>
      <c r="P448" s="4"/>
    </row>
    <row r="449" spans="1:16">
      <c r="A449" s="4"/>
      <c r="B449" s="5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5"/>
      <c r="P449" s="4"/>
    </row>
    <row r="450" spans="1:16">
      <c r="A450" s="4"/>
      <c r="B450" s="5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5"/>
      <c r="P450" s="4"/>
    </row>
    <row r="451" spans="1:16">
      <c r="A451" s="4"/>
      <c r="B451" s="5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5"/>
      <c r="P451" s="4"/>
    </row>
    <row r="452" spans="1:16">
      <c r="A452" s="4"/>
      <c r="B452" s="5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5"/>
      <c r="P452" s="4"/>
    </row>
    <row r="453" spans="1:16">
      <c r="A453" s="4"/>
      <c r="B453" s="5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5"/>
      <c r="P453" s="4"/>
    </row>
    <row r="454" spans="1:16">
      <c r="A454" s="4"/>
      <c r="B454" s="5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5"/>
      <c r="P454" s="4"/>
    </row>
    <row r="455" spans="1:16">
      <c r="A455" s="4"/>
      <c r="B455" s="5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5"/>
      <c r="P455" s="4"/>
    </row>
    <row r="456" spans="1:16">
      <c r="A456" s="4"/>
      <c r="B456" s="5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5"/>
      <c r="P456" s="4"/>
    </row>
    <row r="457" spans="1:16">
      <c r="A457" s="4"/>
      <c r="B457" s="5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5"/>
      <c r="P457" s="4"/>
    </row>
    <row r="458" spans="1:16">
      <c r="A458" s="4"/>
      <c r="B458" s="5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5"/>
      <c r="P458" s="4"/>
    </row>
    <row r="459" spans="1:16">
      <c r="A459" s="4"/>
      <c r="B459" s="5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5"/>
      <c r="P459" s="4"/>
    </row>
    <row r="460" spans="1:16">
      <c r="A460" s="4"/>
      <c r="B460" s="5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5"/>
      <c r="P460" s="4"/>
    </row>
    <row r="461" spans="1:16">
      <c r="A461" s="4"/>
      <c r="B461" s="5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5"/>
      <c r="P461" s="4"/>
    </row>
    <row r="462" spans="1:16">
      <c r="A462" s="4"/>
      <c r="B462" s="5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5"/>
      <c r="P462" s="4"/>
    </row>
    <row r="463" spans="1:16">
      <c r="A463" s="4"/>
      <c r="B463" s="5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5"/>
      <c r="P463" s="4"/>
    </row>
    <row r="464" spans="1:16">
      <c r="A464" s="4"/>
      <c r="B464" s="5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5"/>
      <c r="P464" s="4"/>
    </row>
    <row r="465" spans="1:16">
      <c r="A465" s="4"/>
      <c r="B465" s="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5"/>
      <c r="P465" s="4"/>
    </row>
    <row r="466" spans="1:16">
      <c r="A466" s="4"/>
      <c r="B466" s="5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5"/>
      <c r="P466" s="4"/>
    </row>
    <row r="467" spans="1:16">
      <c r="A467" s="4"/>
      <c r="B467" s="5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5"/>
      <c r="P467" s="4"/>
    </row>
    <row r="468" spans="1:16">
      <c r="A468" s="4"/>
      <c r="B468" s="5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5"/>
      <c r="P468" s="4"/>
    </row>
    <row r="469" spans="1:16">
      <c r="A469" s="4"/>
      <c r="B469" s="5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5"/>
      <c r="P469" s="4"/>
    </row>
    <row r="470" spans="1:16">
      <c r="A470" s="4"/>
      <c r="B470" s="5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5"/>
      <c r="P470" s="4"/>
    </row>
    <row r="471" spans="1:16">
      <c r="A471" s="4"/>
      <c r="B471" s="5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5"/>
      <c r="P471" s="4"/>
    </row>
    <row r="472" spans="1:16">
      <c r="A472" s="4"/>
      <c r="B472" s="5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5"/>
      <c r="P472" s="4"/>
    </row>
    <row r="473" spans="1:16">
      <c r="A473" s="4"/>
      <c r="B473" s="5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5"/>
      <c r="P473" s="4"/>
    </row>
    <row r="474" spans="1:16">
      <c r="A474" s="4"/>
      <c r="B474" s="5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5"/>
      <c r="P474" s="4"/>
    </row>
    <row r="475" spans="1:16">
      <c r="A475" s="4"/>
      <c r="B475" s="5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5"/>
      <c r="P475" s="4"/>
    </row>
    <row r="476" spans="1:16">
      <c r="A476" s="4"/>
      <c r="B476" s="5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5"/>
      <c r="P476" s="4"/>
    </row>
    <row r="477" spans="1:16">
      <c r="A477" s="4"/>
      <c r="B477" s="5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5"/>
      <c r="P477" s="4"/>
    </row>
    <row r="478" spans="1:16">
      <c r="A478" s="4"/>
      <c r="B478" s="5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5"/>
      <c r="P478" s="4"/>
    </row>
    <row r="479" spans="1:16">
      <c r="A479" s="4"/>
      <c r="B479" s="5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5"/>
      <c r="P479" s="4"/>
    </row>
    <row r="480" spans="1:16">
      <c r="A480" s="4"/>
      <c r="B480" s="5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5"/>
      <c r="P480" s="4"/>
    </row>
    <row r="481" spans="1:16">
      <c r="A481" s="4"/>
      <c r="B481" s="5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5"/>
      <c r="P481" s="4"/>
    </row>
    <row r="482" spans="1:16">
      <c r="A482" s="4"/>
      <c r="B482" s="5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5"/>
      <c r="P482" s="4"/>
    </row>
    <row r="483" spans="1:16">
      <c r="A483" s="4"/>
      <c r="B483" s="5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5"/>
      <c r="P483" s="4"/>
    </row>
    <row r="484" spans="1:16">
      <c r="A484" s="4"/>
      <c r="B484" s="5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5"/>
      <c r="P484" s="4"/>
    </row>
    <row r="485" spans="1:16">
      <c r="A485" s="4"/>
      <c r="B485" s="5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5"/>
      <c r="P485" s="4"/>
    </row>
    <row r="486" spans="1:16">
      <c r="A486" s="4"/>
      <c r="B486" s="5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5"/>
      <c r="P486" s="4"/>
    </row>
    <row r="487" spans="1:16">
      <c r="A487" s="4"/>
      <c r="B487" s="5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5"/>
      <c r="P487" s="4"/>
    </row>
    <row r="488" spans="1:16">
      <c r="A488" s="4"/>
      <c r="B488" s="5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5"/>
      <c r="P488" s="4"/>
    </row>
    <row r="489" spans="1:16">
      <c r="A489" s="4"/>
      <c r="B489" s="5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5"/>
      <c r="P489" s="4"/>
    </row>
    <row r="490" spans="1:16">
      <c r="A490" s="4"/>
      <c r="B490" s="5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5"/>
      <c r="P490" s="4"/>
    </row>
    <row r="491" spans="1:16">
      <c r="A491" s="4"/>
      <c r="B491" s="5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5"/>
      <c r="P491" s="4"/>
    </row>
    <row r="492" spans="1:16">
      <c r="A492" s="4"/>
      <c r="B492" s="5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5"/>
      <c r="P492" s="4"/>
    </row>
    <row r="493" spans="1:16">
      <c r="A493" s="4"/>
      <c r="B493" s="5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5"/>
      <c r="P493" s="4"/>
    </row>
    <row r="494" spans="1:16">
      <c r="A494" s="4"/>
      <c r="B494" s="5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5"/>
      <c r="P494" s="4"/>
    </row>
    <row r="495" spans="1:16">
      <c r="A495" s="4"/>
      <c r="B495" s="5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5"/>
      <c r="P495" s="4"/>
    </row>
    <row r="496" spans="1:16">
      <c r="A496" s="4"/>
      <c r="B496" s="5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5"/>
      <c r="P496" s="4"/>
    </row>
    <row r="497" spans="1:16">
      <c r="A497" s="4"/>
      <c r="B497" s="5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5"/>
      <c r="P497" s="4"/>
    </row>
    <row r="498" spans="1:16">
      <c r="A498" s="4"/>
      <c r="B498" s="5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5"/>
      <c r="P498" s="4"/>
    </row>
    <row r="499" spans="1:16">
      <c r="A499" s="4"/>
      <c r="B499" s="5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5"/>
      <c r="P499" s="4"/>
    </row>
    <row r="500" spans="1:16">
      <c r="A500" s="4"/>
      <c r="B500" s="5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5"/>
      <c r="P500" s="4"/>
    </row>
    <row r="501" spans="1:16">
      <c r="A501" s="4"/>
      <c r="B501" s="5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5"/>
      <c r="P501" s="4"/>
    </row>
    <row r="502" spans="1:16">
      <c r="A502" s="4"/>
      <c r="B502" s="5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5"/>
      <c r="P502" s="4"/>
    </row>
    <row r="503" spans="1:16">
      <c r="A503" s="4"/>
      <c r="B503" s="5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5"/>
      <c r="P503" s="4"/>
    </row>
    <row r="504" spans="1:16">
      <c r="A504" s="4"/>
      <c r="B504" s="5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5"/>
      <c r="P504" s="4"/>
    </row>
    <row r="505" spans="1:16">
      <c r="A505" s="4"/>
      <c r="B505" s="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5"/>
      <c r="P505" s="4"/>
    </row>
    <row r="506" spans="1:16">
      <c r="A506" s="4"/>
      <c r="B506" s="5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5"/>
      <c r="P506" s="4"/>
    </row>
    <row r="507" spans="1:16">
      <c r="A507" s="4"/>
      <c r="B507" s="5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5"/>
      <c r="P507" s="4"/>
    </row>
    <row r="508" spans="1:16">
      <c r="A508" s="4"/>
      <c r="B508" s="5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5"/>
      <c r="P508" s="4"/>
    </row>
    <row r="509" spans="1:16">
      <c r="A509" s="4"/>
      <c r="B509" s="5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5"/>
      <c r="P509" s="4"/>
    </row>
    <row r="510" spans="1:16">
      <c r="A510" s="4"/>
      <c r="B510" s="5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5"/>
      <c r="P510" s="4"/>
    </row>
    <row r="511" spans="1:16">
      <c r="A511" s="4"/>
      <c r="B511" s="5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5"/>
      <c r="P511" s="4"/>
    </row>
    <row r="512" spans="1:16">
      <c r="A512" s="4"/>
      <c r="B512" s="5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5"/>
      <c r="P512" s="4"/>
    </row>
    <row r="513" spans="1:16">
      <c r="A513" s="4"/>
      <c r="B513" s="5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5"/>
      <c r="P513" s="4"/>
    </row>
    <row r="514" spans="1:16">
      <c r="A514" s="4"/>
      <c r="B514" s="5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5"/>
      <c r="P514" s="4"/>
    </row>
    <row r="515" spans="1:16">
      <c r="A515" s="4"/>
      <c r="B515" s="5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5"/>
      <c r="P515" s="4"/>
    </row>
    <row r="516" spans="1:16">
      <c r="A516" s="4"/>
      <c r="B516" s="5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5"/>
      <c r="P516" s="4"/>
    </row>
    <row r="517" spans="1:16">
      <c r="A517" s="4"/>
      <c r="B517" s="5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5"/>
      <c r="P517" s="4"/>
    </row>
    <row r="518" spans="1:16">
      <c r="A518" s="4"/>
      <c r="B518" s="5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5"/>
      <c r="P518" s="4"/>
    </row>
    <row r="519" spans="1:16">
      <c r="A519" s="4"/>
      <c r="B519" s="5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5"/>
      <c r="P519" s="4"/>
    </row>
    <row r="520" spans="1:16">
      <c r="A520" s="4"/>
      <c r="B520" s="5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5"/>
      <c r="P520" s="4"/>
    </row>
    <row r="521" spans="1:16">
      <c r="A521" s="4"/>
      <c r="B521" s="5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5"/>
      <c r="P521" s="4"/>
    </row>
    <row r="522" spans="1:16">
      <c r="A522" s="4"/>
      <c r="B522" s="5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5"/>
      <c r="P522" s="4"/>
    </row>
    <row r="523" spans="1:16">
      <c r="A523" s="4"/>
      <c r="B523" s="5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5"/>
      <c r="P523" s="4"/>
    </row>
    <row r="524" spans="1:16">
      <c r="A524" s="4"/>
      <c r="B524" s="5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5"/>
      <c r="P524" s="4"/>
    </row>
    <row r="525" spans="1:16">
      <c r="A525" s="4"/>
      <c r="B525" s="5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5"/>
      <c r="P525" s="4"/>
    </row>
    <row r="526" spans="1:16">
      <c r="A526" s="4"/>
      <c r="B526" s="5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5"/>
      <c r="P526" s="4"/>
    </row>
    <row r="527" spans="1:16">
      <c r="A527" s="4"/>
      <c r="B527" s="5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5"/>
      <c r="P527" s="4"/>
    </row>
    <row r="528" spans="1:16">
      <c r="A528" s="4"/>
      <c r="B528" s="5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5"/>
      <c r="P528" s="4"/>
    </row>
    <row r="529" spans="1:16">
      <c r="A529" s="4"/>
      <c r="B529" s="5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5"/>
      <c r="P529" s="4"/>
    </row>
    <row r="530" spans="1:16">
      <c r="A530" s="4"/>
      <c r="B530" s="5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5"/>
      <c r="P530" s="4"/>
    </row>
    <row r="531" spans="1:16">
      <c r="A531" s="4"/>
      <c r="B531" s="5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5"/>
      <c r="P531" s="4"/>
    </row>
    <row r="532" spans="1:16">
      <c r="A532" s="4"/>
      <c r="B532" s="5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5"/>
      <c r="P532" s="4"/>
    </row>
    <row r="533" spans="1:16">
      <c r="A533" s="4"/>
      <c r="B533" s="5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5"/>
      <c r="P533" s="4"/>
    </row>
    <row r="534" spans="1:16">
      <c r="A534" s="4"/>
      <c r="B534" s="5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5"/>
      <c r="P534" s="4"/>
    </row>
    <row r="535" spans="1:16">
      <c r="A535" s="4"/>
      <c r="B535" s="5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5"/>
      <c r="P535" s="4"/>
    </row>
    <row r="536" spans="1:16">
      <c r="A536" s="4"/>
      <c r="B536" s="5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5"/>
      <c r="P536" s="4"/>
    </row>
    <row r="537" spans="1:16">
      <c r="A537" s="4"/>
      <c r="B537" s="5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5"/>
      <c r="P537" s="4"/>
    </row>
    <row r="538" spans="1:16">
      <c r="A538" s="4"/>
      <c r="B538" s="5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5"/>
      <c r="P538" s="4"/>
    </row>
    <row r="539" spans="1:16">
      <c r="A539" s="4"/>
      <c r="B539" s="5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5"/>
      <c r="P539" s="4"/>
    </row>
    <row r="540" spans="1:16">
      <c r="A540" s="4"/>
      <c r="B540" s="5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5"/>
      <c r="P540" s="4"/>
    </row>
    <row r="541" spans="1:16">
      <c r="A541" s="4"/>
      <c r="B541" s="5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5"/>
      <c r="P541" s="4"/>
    </row>
    <row r="542" spans="1:16">
      <c r="A542" s="4"/>
      <c r="B542" s="5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5"/>
      <c r="P542" s="4"/>
    </row>
    <row r="543" spans="1:16">
      <c r="A543" s="4"/>
      <c r="B543" s="5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5"/>
      <c r="P543" s="4"/>
    </row>
    <row r="544" spans="1:16">
      <c r="A544" s="4"/>
      <c r="B544" s="5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5"/>
      <c r="P544" s="4"/>
    </row>
    <row r="545" spans="1:16">
      <c r="A545" s="4"/>
      <c r="B545" s="5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5"/>
      <c r="P545" s="4"/>
    </row>
    <row r="546" spans="1:16">
      <c r="A546" s="4"/>
      <c r="B546" s="5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5"/>
      <c r="P546" s="4"/>
    </row>
    <row r="547" spans="1:16">
      <c r="A547" s="4"/>
      <c r="B547" s="5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5"/>
      <c r="P547" s="4"/>
    </row>
    <row r="548" spans="1:16">
      <c r="A548" s="4"/>
      <c r="B548" s="5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5"/>
      <c r="P548" s="4"/>
    </row>
    <row r="549" spans="1:16">
      <c r="A549" s="4"/>
      <c r="B549" s="5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5"/>
      <c r="P549" s="4"/>
    </row>
    <row r="550" spans="1:16">
      <c r="A550" s="4"/>
      <c r="B550" s="5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5"/>
      <c r="P550" s="4"/>
    </row>
    <row r="551" spans="1:16">
      <c r="A551" s="4"/>
      <c r="B551" s="5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5"/>
      <c r="P551" s="4"/>
    </row>
    <row r="552" spans="1:16">
      <c r="A552" s="4"/>
      <c r="B552" s="5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5"/>
      <c r="P552" s="4"/>
    </row>
    <row r="553" spans="1:16">
      <c r="A553" s="4"/>
      <c r="B553" s="5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5"/>
      <c r="P553" s="4"/>
    </row>
    <row r="554" spans="1:16">
      <c r="A554" s="4"/>
      <c r="B554" s="5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5"/>
      <c r="P554" s="4"/>
    </row>
    <row r="555" spans="1:16">
      <c r="A555" s="4"/>
      <c r="B555" s="5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5"/>
      <c r="P555" s="4"/>
    </row>
    <row r="556" spans="1:16">
      <c r="A556" s="4"/>
      <c r="B556" s="5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5"/>
      <c r="P556" s="4"/>
    </row>
    <row r="557" spans="1:16">
      <c r="A557" s="4"/>
      <c r="B557" s="5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5"/>
      <c r="P557" s="4"/>
    </row>
    <row r="558" spans="1:16">
      <c r="A558" s="4"/>
      <c r="B558" s="5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5"/>
      <c r="P558" s="4"/>
    </row>
    <row r="559" spans="1:16">
      <c r="A559" s="4"/>
      <c r="B559" s="5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5"/>
      <c r="P559" s="4"/>
    </row>
    <row r="560" spans="1:16">
      <c r="A560" s="4"/>
      <c r="B560" s="5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5"/>
      <c r="P560" s="4"/>
    </row>
    <row r="561" spans="1:16">
      <c r="A561" s="4"/>
      <c r="B561" s="5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5"/>
      <c r="P561" s="4"/>
    </row>
    <row r="562" spans="1:16">
      <c r="A562" s="4"/>
      <c r="B562" s="5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5"/>
      <c r="P562" s="4"/>
    </row>
    <row r="563" spans="1:16">
      <c r="A563" s="4"/>
      <c r="B563" s="5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5"/>
      <c r="P563" s="4"/>
    </row>
    <row r="564" spans="1:16">
      <c r="A564" s="4"/>
      <c r="B564" s="5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5"/>
      <c r="P564" s="4"/>
    </row>
    <row r="565" spans="1:16">
      <c r="A565" s="4"/>
      <c r="B565" s="5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5"/>
      <c r="P565" s="4"/>
    </row>
    <row r="566" spans="1:16">
      <c r="A566" s="4"/>
      <c r="B566" s="5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5"/>
      <c r="P566" s="4"/>
    </row>
    <row r="567" spans="1:16">
      <c r="A567" s="4"/>
      <c r="B567" s="5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5"/>
      <c r="P567" s="4"/>
    </row>
    <row r="568" spans="1:16">
      <c r="A568" s="4"/>
      <c r="B568" s="5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5"/>
      <c r="P568" s="4"/>
    </row>
    <row r="569" spans="1:16">
      <c r="A569" s="4"/>
      <c r="B569" s="5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5"/>
      <c r="P569" s="4"/>
    </row>
    <row r="570" spans="1:16">
      <c r="A570" s="4"/>
      <c r="B570" s="5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5"/>
      <c r="P570" s="4"/>
    </row>
    <row r="571" spans="1:16">
      <c r="A571" s="4"/>
      <c r="B571" s="5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5"/>
      <c r="P571" s="4"/>
    </row>
    <row r="572" spans="1:16">
      <c r="A572" s="4"/>
      <c r="B572" s="5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5"/>
      <c r="P572" s="4"/>
    </row>
    <row r="573" spans="1:16">
      <c r="A573" s="4"/>
      <c r="B573" s="5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5"/>
      <c r="P573" s="4"/>
    </row>
    <row r="574" spans="1:16">
      <c r="A574" s="4"/>
      <c r="B574" s="5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5"/>
      <c r="P574" s="4"/>
    </row>
    <row r="575" spans="1:16">
      <c r="A575" s="4"/>
      <c r="B575" s="5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5"/>
      <c r="P575" s="4"/>
    </row>
    <row r="576" spans="1:16">
      <c r="A576" s="4"/>
      <c r="B576" s="5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5"/>
      <c r="P576" s="4"/>
    </row>
    <row r="577" spans="1:16">
      <c r="A577" s="4"/>
      <c r="B577" s="5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5"/>
      <c r="P577" s="4"/>
    </row>
    <row r="578" spans="1:16">
      <c r="A578" s="4"/>
      <c r="B578" s="5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5"/>
      <c r="P578" s="4"/>
    </row>
    <row r="579" spans="1:16">
      <c r="A579" s="4"/>
      <c r="B579" s="5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5"/>
      <c r="P579" s="4"/>
    </row>
    <row r="580" spans="1:16">
      <c r="A580" s="4"/>
      <c r="B580" s="5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5"/>
      <c r="P580" s="4"/>
    </row>
    <row r="581" spans="1:16">
      <c r="A581" s="4"/>
      <c r="B581" s="5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5"/>
      <c r="P581" s="4"/>
    </row>
    <row r="582" spans="1:16">
      <c r="A582" s="4"/>
      <c r="B582" s="5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5"/>
      <c r="P582" s="4"/>
    </row>
    <row r="583" spans="1:16">
      <c r="A583" s="4"/>
      <c r="B583" s="5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5"/>
      <c r="P583" s="4"/>
    </row>
    <row r="584" spans="1:16">
      <c r="A584" s="4"/>
      <c r="B584" s="5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5"/>
      <c r="P584" s="4"/>
    </row>
    <row r="585" spans="1:16">
      <c r="A585" s="4"/>
      <c r="B585" s="5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5"/>
      <c r="P585" s="4"/>
    </row>
    <row r="586" spans="1:16">
      <c r="A586" s="4"/>
      <c r="B586" s="5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5"/>
      <c r="P586" s="4"/>
    </row>
    <row r="587" spans="1:16">
      <c r="A587" s="4"/>
      <c r="B587" s="5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5"/>
      <c r="P587" s="4"/>
    </row>
    <row r="588" spans="1:16">
      <c r="A588" s="4"/>
      <c r="B588" s="5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5"/>
      <c r="P588" s="4"/>
    </row>
    <row r="589" spans="1:16">
      <c r="A589" s="4"/>
      <c r="B589" s="5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5"/>
      <c r="P589" s="4"/>
    </row>
    <row r="590" spans="1:16">
      <c r="A590" s="4"/>
      <c r="B590" s="5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5"/>
      <c r="P590" s="4"/>
    </row>
    <row r="591" spans="1:16">
      <c r="A591" s="4"/>
      <c r="B591" s="5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5"/>
      <c r="P591" s="4"/>
    </row>
    <row r="592" spans="1:16">
      <c r="A592" s="4"/>
      <c r="B592" s="5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5"/>
      <c r="P592" s="4"/>
    </row>
    <row r="593" spans="1:16">
      <c r="A593" s="4"/>
      <c r="B593" s="5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5"/>
      <c r="P593" s="4"/>
    </row>
    <row r="594" spans="1:16">
      <c r="A594" s="4"/>
      <c r="B594" s="5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5"/>
      <c r="P594" s="4"/>
    </row>
    <row r="595" spans="1:16">
      <c r="A595" s="4"/>
      <c r="B595" s="5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5"/>
      <c r="P595" s="4"/>
    </row>
    <row r="596" spans="1:16">
      <c r="A596" s="4"/>
      <c r="B596" s="5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5"/>
      <c r="P596" s="4"/>
    </row>
    <row r="597" spans="1:16">
      <c r="A597" s="4"/>
      <c r="B597" s="5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5"/>
      <c r="P597" s="4"/>
    </row>
    <row r="598" spans="1:16">
      <c r="A598" s="4"/>
      <c r="B598" s="5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5"/>
      <c r="P598" s="4"/>
    </row>
    <row r="599" spans="1:16">
      <c r="A599" s="4"/>
      <c r="B599" s="5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5"/>
      <c r="P599" s="4"/>
    </row>
    <row r="600" spans="1:16">
      <c r="A600" s="4"/>
      <c r="B600" s="5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5"/>
      <c r="P600" s="4"/>
    </row>
    <row r="601" spans="1:16">
      <c r="A601" s="4"/>
      <c r="B601" s="5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5"/>
      <c r="P601" s="4"/>
    </row>
    <row r="602" spans="1:16">
      <c r="A602" s="4"/>
      <c r="B602" s="5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5"/>
      <c r="P602" s="4"/>
    </row>
    <row r="603" spans="1:16">
      <c r="A603" s="4"/>
      <c r="B603" s="5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5"/>
      <c r="P603" s="4"/>
    </row>
    <row r="604" spans="1:16">
      <c r="A604" s="4"/>
      <c r="B604" s="5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5"/>
      <c r="P604" s="4"/>
    </row>
    <row r="605" spans="1:16">
      <c r="A605" s="4"/>
      <c r="B605" s="5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5"/>
      <c r="P605" s="4"/>
    </row>
    <row r="606" spans="1:16">
      <c r="A606" s="4"/>
      <c r="B606" s="5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5"/>
      <c r="P606" s="4"/>
    </row>
    <row r="607" spans="1:16">
      <c r="A607" s="4"/>
      <c r="B607" s="5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5"/>
      <c r="P607" s="4"/>
    </row>
    <row r="608" spans="1:16">
      <c r="A608" s="4"/>
      <c r="B608" s="5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5"/>
      <c r="P608" s="4"/>
    </row>
    <row r="609" spans="1:16">
      <c r="A609" s="4"/>
      <c r="B609" s="5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5"/>
      <c r="P609" s="4"/>
    </row>
    <row r="610" spans="1:16">
      <c r="A610" s="4"/>
      <c r="B610" s="5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5"/>
      <c r="P610" s="4"/>
    </row>
    <row r="611" spans="1:16">
      <c r="A611" s="4"/>
      <c r="B611" s="5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5"/>
      <c r="P611" s="4"/>
    </row>
    <row r="612" spans="1:16">
      <c r="A612" s="4"/>
      <c r="B612" s="5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5"/>
      <c r="P612" s="4"/>
    </row>
    <row r="613" spans="1:16">
      <c r="A613" s="4"/>
      <c r="B613" s="5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5"/>
      <c r="P613" s="4"/>
    </row>
    <row r="614" spans="1:16">
      <c r="A614" s="4"/>
      <c r="B614" s="5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5"/>
      <c r="P614" s="4"/>
    </row>
    <row r="615" spans="1:16">
      <c r="A615" s="4"/>
      <c r="B615" s="5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5"/>
      <c r="P615" s="4"/>
    </row>
    <row r="616" spans="1:16">
      <c r="A616" s="4"/>
      <c r="B616" s="5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5"/>
      <c r="P616" s="4"/>
    </row>
    <row r="617" spans="1:16">
      <c r="A617" s="4"/>
      <c r="B617" s="5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5"/>
      <c r="P617" s="4"/>
    </row>
    <row r="618" spans="1:16">
      <c r="A618" s="4"/>
      <c r="B618" s="5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5"/>
      <c r="P618" s="4"/>
    </row>
    <row r="619" spans="1:16">
      <c r="A619" s="4"/>
      <c r="B619" s="5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5"/>
      <c r="P619" s="4"/>
    </row>
    <row r="620" spans="1:16">
      <c r="A620" s="4"/>
      <c r="B620" s="5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5"/>
      <c r="P620" s="4"/>
    </row>
    <row r="621" spans="1:16">
      <c r="A621" s="4"/>
      <c r="B621" s="5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5"/>
      <c r="P621" s="4"/>
    </row>
    <row r="622" spans="1:16">
      <c r="A622" s="4"/>
      <c r="B622" s="5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5"/>
      <c r="P622" s="4"/>
    </row>
    <row r="623" spans="1:16">
      <c r="A623" s="4"/>
      <c r="B623" s="5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5"/>
      <c r="P623" s="4"/>
    </row>
    <row r="624" spans="1:16">
      <c r="A624" s="4"/>
      <c r="B624" s="5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5"/>
      <c r="P624" s="4"/>
    </row>
    <row r="625" spans="1:16">
      <c r="A625" s="4"/>
      <c r="B625" s="5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5"/>
      <c r="P625" s="4"/>
    </row>
    <row r="626" spans="1:16">
      <c r="A626" s="4"/>
      <c r="B626" s="5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5"/>
      <c r="P626" s="4"/>
    </row>
    <row r="627" spans="1:16">
      <c r="A627" s="4"/>
      <c r="B627" s="5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5"/>
      <c r="P627" s="4"/>
    </row>
    <row r="628" spans="1:16">
      <c r="A628" s="4"/>
      <c r="B628" s="5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5"/>
      <c r="P628" s="4"/>
    </row>
    <row r="629" spans="1:16">
      <c r="A629" s="4"/>
      <c r="B629" s="5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5"/>
      <c r="P629" s="4"/>
    </row>
    <row r="630" spans="1:16">
      <c r="A630" s="4"/>
      <c r="B630" s="5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5"/>
      <c r="P630" s="4"/>
    </row>
    <row r="631" spans="1:16">
      <c r="A631" s="4"/>
      <c r="B631" s="5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5"/>
      <c r="P631" s="4"/>
    </row>
    <row r="632" spans="1:16">
      <c r="A632" s="4"/>
      <c r="B632" s="5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5"/>
      <c r="P632" s="4"/>
    </row>
    <row r="633" spans="1:16">
      <c r="A633" s="4"/>
      <c r="B633" s="5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5"/>
      <c r="P633" s="4"/>
    </row>
    <row r="634" spans="1:16">
      <c r="A634" s="4"/>
      <c r="B634" s="5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5"/>
      <c r="P634" s="4"/>
    </row>
    <row r="635" spans="1:16">
      <c r="A635" s="4"/>
      <c r="B635" s="5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5"/>
      <c r="P635" s="4"/>
    </row>
    <row r="636" spans="1:16">
      <c r="A636" s="4"/>
      <c r="B636" s="5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5"/>
      <c r="P636" s="4"/>
    </row>
    <row r="637" spans="1:16">
      <c r="A637" s="4"/>
      <c r="B637" s="5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5"/>
      <c r="P637" s="4"/>
    </row>
    <row r="638" spans="1:16">
      <c r="A638" s="4"/>
      <c r="B638" s="5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5"/>
      <c r="P638" s="4"/>
    </row>
    <row r="639" spans="1:16">
      <c r="A639" s="4"/>
      <c r="B639" s="5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5"/>
      <c r="P639" s="4"/>
    </row>
    <row r="640" spans="1:16">
      <c r="A640" s="4"/>
      <c r="B640" s="5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5"/>
      <c r="P640" s="4"/>
    </row>
    <row r="641" spans="1:16">
      <c r="A641" s="4"/>
      <c r="B641" s="5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5"/>
      <c r="P641" s="4"/>
    </row>
    <row r="642" spans="1:16">
      <c r="A642" s="4"/>
      <c r="B642" s="5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5"/>
      <c r="P642" s="4"/>
    </row>
    <row r="643" spans="1:16">
      <c r="A643" s="4"/>
      <c r="B643" s="5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5"/>
      <c r="P643" s="4"/>
    </row>
    <row r="644" spans="1:16">
      <c r="A644" s="4"/>
      <c r="B644" s="5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5"/>
      <c r="P644" s="4"/>
    </row>
    <row r="645" spans="1:16">
      <c r="A645" s="4"/>
      <c r="B645" s="5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5"/>
      <c r="P645" s="4"/>
    </row>
    <row r="646" spans="1:16">
      <c r="A646" s="4"/>
      <c r="B646" s="5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5"/>
      <c r="P646" s="4"/>
    </row>
    <row r="647" spans="1:16">
      <c r="A647" s="4"/>
      <c r="B647" s="5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5"/>
      <c r="P647" s="4"/>
    </row>
    <row r="648" spans="1:16">
      <c r="A648" s="4"/>
      <c r="B648" s="5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5"/>
      <c r="P648" s="4"/>
    </row>
    <row r="649" spans="1:16">
      <c r="A649" s="4"/>
      <c r="B649" s="5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5"/>
      <c r="P649" s="4"/>
    </row>
    <row r="650" spans="1:16">
      <c r="A650" s="4"/>
      <c r="B650" s="5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5"/>
      <c r="P650" s="4"/>
    </row>
    <row r="651" spans="1:16">
      <c r="A651" s="4"/>
      <c r="B651" s="5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5"/>
      <c r="P651" s="4"/>
    </row>
    <row r="652" spans="1:16">
      <c r="A652" s="4"/>
      <c r="B652" s="5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5"/>
      <c r="P652" s="4"/>
    </row>
    <row r="653" spans="1:16">
      <c r="A653" s="4"/>
      <c r="B653" s="5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5"/>
      <c r="P653" s="4"/>
    </row>
    <row r="654" spans="1:16">
      <c r="A654" s="4"/>
      <c r="B654" s="5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5"/>
      <c r="P654" s="4"/>
    </row>
    <row r="655" spans="1:16">
      <c r="A655" s="4"/>
      <c r="B655" s="5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5"/>
      <c r="P655" s="4"/>
    </row>
    <row r="656" spans="1:16">
      <c r="A656" s="4"/>
      <c r="B656" s="5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5"/>
      <c r="P656" s="4"/>
    </row>
    <row r="657" spans="1:16">
      <c r="A657" s="4"/>
      <c r="B657" s="5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5"/>
      <c r="P657" s="4"/>
    </row>
    <row r="658" spans="1:16">
      <c r="A658" s="4"/>
      <c r="B658" s="5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5"/>
      <c r="P658" s="4"/>
    </row>
    <row r="659" spans="1:16">
      <c r="A659" s="4"/>
      <c r="B659" s="5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5"/>
      <c r="P659" s="4"/>
    </row>
    <row r="660" spans="1:16">
      <c r="A660" s="4"/>
      <c r="B660" s="5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5"/>
      <c r="P660" s="4"/>
    </row>
    <row r="661" spans="1:16">
      <c r="A661" s="4"/>
      <c r="B661" s="5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5"/>
      <c r="P661" s="4"/>
    </row>
    <row r="662" spans="1:16">
      <c r="A662" s="4"/>
      <c r="B662" s="5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5"/>
      <c r="P662" s="4"/>
    </row>
    <row r="663" spans="1:16">
      <c r="A663" s="4"/>
      <c r="B663" s="5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5"/>
      <c r="P663" s="4"/>
    </row>
    <row r="664" spans="1:16">
      <c r="A664" s="4"/>
      <c r="B664" s="5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5"/>
      <c r="P664" s="4"/>
    </row>
    <row r="665" spans="1:16">
      <c r="A665" s="4"/>
      <c r="B665" s="5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5"/>
      <c r="P665" s="4"/>
    </row>
    <row r="666" spans="1:16">
      <c r="A666" s="4"/>
      <c r="B666" s="5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5"/>
      <c r="P666" s="4"/>
    </row>
    <row r="667" spans="1:16">
      <c r="A667" s="4"/>
      <c r="B667" s="5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5"/>
      <c r="P667" s="4"/>
    </row>
    <row r="668" spans="1:16">
      <c r="A668" s="4"/>
      <c r="B668" s="5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5"/>
      <c r="P668" s="4"/>
    </row>
    <row r="669" spans="1:16">
      <c r="A669" s="4"/>
      <c r="B669" s="5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5"/>
      <c r="P669" s="4"/>
    </row>
    <row r="670" spans="1:16">
      <c r="A670" s="4"/>
      <c r="B670" s="5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5"/>
      <c r="P670" s="4"/>
    </row>
    <row r="671" spans="1:16">
      <c r="A671" s="4"/>
      <c r="B671" s="5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5"/>
      <c r="P671" s="4"/>
    </row>
    <row r="672" spans="1:16">
      <c r="A672" s="4"/>
      <c r="B672" s="5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5"/>
      <c r="P672" s="4"/>
    </row>
    <row r="673" spans="1:16">
      <c r="A673" s="4"/>
      <c r="B673" s="5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5"/>
      <c r="P673" s="4"/>
    </row>
    <row r="674" spans="1:16">
      <c r="A674" s="4"/>
      <c r="B674" s="5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5"/>
      <c r="P674" s="4"/>
    </row>
    <row r="675" spans="1:16">
      <c r="A675" s="4"/>
      <c r="B675" s="5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5"/>
      <c r="P675" s="4"/>
    </row>
    <row r="676" spans="1:16">
      <c r="A676" s="4"/>
      <c r="B676" s="5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5"/>
      <c r="P676" s="4"/>
    </row>
    <row r="677" spans="1:16">
      <c r="A677" s="4"/>
      <c r="B677" s="5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5"/>
      <c r="P677" s="4"/>
    </row>
    <row r="678" spans="1:16">
      <c r="A678" s="4"/>
      <c r="B678" s="5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5"/>
      <c r="P678" s="4"/>
    </row>
    <row r="679" spans="1:16">
      <c r="A679" s="4"/>
      <c r="B679" s="5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5"/>
      <c r="P679" s="4"/>
    </row>
    <row r="680" spans="1:16">
      <c r="A680" s="4"/>
      <c r="B680" s="5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5"/>
      <c r="P680" s="4"/>
    </row>
    <row r="681" spans="1:16">
      <c r="A681" s="4"/>
      <c r="B681" s="5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5"/>
      <c r="P681" s="4"/>
    </row>
    <row r="682" spans="1:16">
      <c r="A682" s="4"/>
      <c r="B682" s="5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5"/>
      <c r="P682" s="4"/>
    </row>
    <row r="683" spans="1:16">
      <c r="A683" s="4"/>
      <c r="B683" s="5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5"/>
      <c r="P683" s="4"/>
    </row>
    <row r="684" spans="1:16">
      <c r="A684" s="4"/>
      <c r="B684" s="5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5"/>
      <c r="P684" s="4"/>
    </row>
    <row r="685" spans="1:16">
      <c r="A685" s="4"/>
      <c r="B685" s="5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5"/>
      <c r="P685" s="4"/>
    </row>
    <row r="686" spans="1:16">
      <c r="A686" s="4"/>
      <c r="B686" s="5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5"/>
      <c r="P686" s="4"/>
    </row>
    <row r="687" spans="1:16">
      <c r="A687" s="4"/>
      <c r="B687" s="5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5"/>
      <c r="P687" s="4"/>
    </row>
    <row r="688" spans="1:16">
      <c r="A688" s="4"/>
      <c r="B688" s="5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5"/>
      <c r="P688" s="4"/>
    </row>
    <row r="689" spans="1:16">
      <c r="A689" s="4"/>
      <c r="B689" s="5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5"/>
      <c r="P689" s="4"/>
    </row>
    <row r="690" spans="1:16">
      <c r="A690" s="4"/>
      <c r="B690" s="5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5"/>
      <c r="P690" s="4"/>
    </row>
    <row r="691" spans="1:16">
      <c r="A691" s="4"/>
      <c r="B691" s="5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5"/>
      <c r="P691" s="4"/>
    </row>
    <row r="692" spans="1:16">
      <c r="A692" s="4"/>
      <c r="B692" s="5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5"/>
      <c r="P692" s="4"/>
    </row>
    <row r="693" spans="1:16">
      <c r="A693" s="4"/>
      <c r="B693" s="5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5"/>
      <c r="P693" s="4"/>
    </row>
    <row r="694" spans="1:16">
      <c r="A694" s="4"/>
      <c r="B694" s="5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5"/>
      <c r="P694" s="4"/>
    </row>
    <row r="695" spans="1:16">
      <c r="A695" s="4"/>
      <c r="B695" s="5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5"/>
      <c r="P695" s="4"/>
    </row>
    <row r="696" spans="1:16">
      <c r="A696" s="4"/>
      <c r="B696" s="5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5"/>
      <c r="P696" s="4"/>
    </row>
    <row r="697" spans="1:16">
      <c r="A697" s="4"/>
      <c r="B697" s="5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5"/>
      <c r="P697" s="4"/>
    </row>
    <row r="698" spans="1:16">
      <c r="A698" s="4"/>
      <c r="B698" s="5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5"/>
      <c r="P698" s="4"/>
    </row>
    <row r="699" spans="1:16">
      <c r="A699" s="4"/>
      <c r="B699" s="5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5"/>
      <c r="P699" s="4"/>
    </row>
    <row r="700" spans="1:16">
      <c r="A700" s="4"/>
      <c r="B700" s="5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5"/>
      <c r="P700" s="4"/>
    </row>
    <row r="701" spans="1:16">
      <c r="A701" s="4"/>
      <c r="B701" s="5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5"/>
      <c r="P701" s="4"/>
    </row>
    <row r="702" spans="1:16">
      <c r="A702" s="4"/>
      <c r="B702" s="5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5"/>
      <c r="P702" s="4"/>
    </row>
    <row r="703" spans="1:16">
      <c r="A703" s="4"/>
      <c r="B703" s="5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5"/>
      <c r="P703" s="4"/>
    </row>
    <row r="704" spans="1:16">
      <c r="A704" s="4"/>
      <c r="B704" s="5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5"/>
      <c r="P704" s="4"/>
    </row>
    <row r="705" spans="1:16">
      <c r="A705" s="4"/>
      <c r="B705" s="5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5"/>
      <c r="P705" s="4"/>
    </row>
    <row r="706" spans="1:16">
      <c r="A706" s="4"/>
      <c r="B706" s="5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5"/>
      <c r="P706" s="4"/>
    </row>
    <row r="707" spans="1:16">
      <c r="A707" s="4"/>
      <c r="B707" s="5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5"/>
      <c r="P707" s="4"/>
    </row>
    <row r="708" spans="1:16">
      <c r="A708" s="4"/>
      <c r="B708" s="5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5"/>
      <c r="P708" s="4"/>
    </row>
    <row r="709" spans="1:16">
      <c r="A709" s="4"/>
      <c r="B709" s="5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5"/>
      <c r="P709" s="4"/>
    </row>
    <row r="710" spans="1:16">
      <c r="A710" s="4"/>
      <c r="B710" s="5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5"/>
      <c r="P710" s="4"/>
    </row>
    <row r="711" spans="1:16">
      <c r="A711" s="4"/>
      <c r="B711" s="5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5"/>
      <c r="P711" s="4"/>
    </row>
    <row r="712" spans="1:16">
      <c r="A712" s="4"/>
      <c r="B712" s="5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5"/>
      <c r="P712" s="4"/>
    </row>
    <row r="713" spans="1:16">
      <c r="A713" s="4"/>
      <c r="B713" s="5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5"/>
      <c r="P713" s="4"/>
    </row>
    <row r="714" spans="1:16">
      <c r="A714" s="4"/>
      <c r="B714" s="5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5"/>
      <c r="P714" s="4"/>
    </row>
    <row r="715" spans="1:16">
      <c r="A715" s="4"/>
      <c r="B715" s="5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5"/>
      <c r="P715" s="4"/>
    </row>
    <row r="716" spans="1:16">
      <c r="A716" s="4"/>
      <c r="B716" s="5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5"/>
      <c r="P716" s="4"/>
    </row>
    <row r="717" spans="1:16">
      <c r="A717" s="4"/>
      <c r="B717" s="5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5"/>
      <c r="P717" s="4"/>
    </row>
    <row r="718" spans="1:16">
      <c r="A718" s="4"/>
      <c r="B718" s="5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5"/>
      <c r="P718" s="4"/>
    </row>
    <row r="719" spans="1:16">
      <c r="A719" s="4"/>
      <c r="B719" s="5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5"/>
      <c r="P719" s="4"/>
    </row>
    <row r="720" spans="1:16">
      <c r="A720" s="4"/>
      <c r="B720" s="5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5"/>
      <c r="P720" s="4"/>
    </row>
    <row r="721" spans="1:16">
      <c r="A721" s="4"/>
      <c r="B721" s="5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5"/>
      <c r="P721" s="4"/>
    </row>
    <row r="722" spans="1:16">
      <c r="A722" s="4"/>
      <c r="B722" s="5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5"/>
      <c r="P722" s="4"/>
    </row>
    <row r="723" spans="1:16">
      <c r="A723" s="4"/>
      <c r="B723" s="5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5"/>
      <c r="P723" s="4"/>
    </row>
    <row r="724" spans="1:16">
      <c r="A724" s="4"/>
      <c r="B724" s="5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5"/>
      <c r="P724" s="4"/>
    </row>
    <row r="725" spans="1:16">
      <c r="A725" s="4"/>
      <c r="B725" s="5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5"/>
      <c r="P725" s="4"/>
    </row>
    <row r="726" spans="1:16">
      <c r="A726" s="4"/>
      <c r="B726" s="5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5"/>
      <c r="P726" s="4"/>
    </row>
    <row r="727" spans="1:16">
      <c r="A727" s="4"/>
      <c r="B727" s="5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5"/>
      <c r="P727" s="4"/>
    </row>
    <row r="728" spans="1:16">
      <c r="A728" s="4"/>
      <c r="B728" s="5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5"/>
      <c r="P728" s="4"/>
    </row>
    <row r="729" spans="1:16">
      <c r="A729" s="4"/>
      <c r="B729" s="5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5"/>
      <c r="P729" s="4"/>
    </row>
    <row r="730" spans="1:16">
      <c r="A730" s="4"/>
      <c r="B730" s="5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5"/>
      <c r="P730" s="4"/>
    </row>
    <row r="731" spans="1:16">
      <c r="A731" s="4"/>
      <c r="B731" s="5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5"/>
      <c r="P731" s="4"/>
    </row>
    <row r="732" spans="1:16">
      <c r="A732" s="4"/>
      <c r="B732" s="5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5"/>
      <c r="P732" s="4"/>
    </row>
    <row r="733" spans="1:16">
      <c r="A733" s="4"/>
      <c r="B733" s="5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5"/>
      <c r="P733" s="4"/>
    </row>
    <row r="734" spans="1:16">
      <c r="A734" s="4"/>
      <c r="B734" s="5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5"/>
      <c r="P734" s="4"/>
    </row>
    <row r="735" spans="1:16">
      <c r="A735" s="4"/>
      <c r="B735" s="5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5"/>
      <c r="P735" s="4"/>
    </row>
    <row r="736" spans="1:16">
      <c r="A736" s="4"/>
      <c r="B736" s="5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5"/>
      <c r="P736" s="4"/>
    </row>
    <row r="737" spans="1:16">
      <c r="A737" s="4"/>
      <c r="B737" s="5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5"/>
      <c r="P737" s="4"/>
    </row>
    <row r="738" spans="1:16">
      <c r="A738" s="4"/>
      <c r="B738" s="5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5"/>
      <c r="P738" s="4"/>
    </row>
    <row r="739" spans="1:16">
      <c r="A739" s="4"/>
      <c r="B739" s="5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5"/>
      <c r="P739" s="4"/>
    </row>
    <row r="740" spans="1:16">
      <c r="A740" s="4"/>
      <c r="B740" s="5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5"/>
      <c r="P740" s="4"/>
    </row>
    <row r="741" spans="1:16">
      <c r="A741" s="4"/>
      <c r="B741" s="5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5"/>
      <c r="P741" s="4"/>
    </row>
    <row r="742" spans="1:16">
      <c r="A742" s="4"/>
      <c r="B742" s="5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5"/>
      <c r="P742" s="4"/>
    </row>
    <row r="743" spans="1:16">
      <c r="A743" s="4"/>
      <c r="B743" s="5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5"/>
      <c r="P743" s="4"/>
    </row>
    <row r="744" spans="1:16">
      <c r="A744" s="4"/>
      <c r="B744" s="5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5"/>
      <c r="P744" s="4"/>
    </row>
    <row r="745" spans="1:16">
      <c r="A745" s="4"/>
      <c r="B745" s="5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5"/>
      <c r="P745" s="4"/>
    </row>
    <row r="746" spans="1:16">
      <c r="A746" s="4"/>
      <c r="B746" s="5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5"/>
      <c r="P746" s="4"/>
    </row>
    <row r="747" spans="1:16">
      <c r="A747" s="4"/>
      <c r="B747" s="5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5"/>
      <c r="P747" s="4"/>
    </row>
    <row r="748" spans="1:16">
      <c r="A748" s="4"/>
      <c r="B748" s="5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5"/>
      <c r="P748" s="4"/>
    </row>
    <row r="749" spans="1:16">
      <c r="A749" s="4"/>
      <c r="B749" s="5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5"/>
      <c r="P749" s="4"/>
    </row>
    <row r="750" spans="1:16">
      <c r="A750" s="4"/>
      <c r="B750" s="5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5"/>
      <c r="P750" s="4"/>
    </row>
    <row r="751" spans="1:16">
      <c r="A751" s="4"/>
      <c r="B751" s="5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5"/>
      <c r="P751" s="4"/>
    </row>
    <row r="752" spans="1:16">
      <c r="A752" s="4"/>
      <c r="B752" s="5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5"/>
      <c r="P752" s="4"/>
    </row>
    <row r="753" spans="1:16">
      <c r="A753" s="4"/>
      <c r="B753" s="5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5"/>
      <c r="P753" s="4"/>
    </row>
    <row r="754" spans="1:16">
      <c r="A754" s="4"/>
      <c r="B754" s="5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5"/>
      <c r="P754" s="4"/>
    </row>
    <row r="755" spans="1:16">
      <c r="A755" s="4"/>
      <c r="B755" s="5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5"/>
      <c r="P755" s="4"/>
    </row>
    <row r="756" spans="1:16">
      <c r="A756" s="4"/>
      <c r="B756" s="5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5"/>
      <c r="P756" s="4"/>
    </row>
    <row r="757" spans="1:16">
      <c r="A757" s="4"/>
      <c r="B757" s="5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5"/>
      <c r="P757" s="4"/>
    </row>
    <row r="758" spans="1:16">
      <c r="A758" s="4"/>
      <c r="B758" s="5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5"/>
      <c r="P758" s="4"/>
    </row>
    <row r="759" spans="1:16">
      <c r="A759" s="4"/>
      <c r="B759" s="5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5"/>
      <c r="P759" s="4"/>
    </row>
    <row r="760" spans="1:16">
      <c r="A760" s="4"/>
      <c r="B760" s="5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5"/>
      <c r="P760" s="4"/>
    </row>
    <row r="761" spans="1:16">
      <c r="A761" s="4"/>
      <c r="B761" s="5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5"/>
      <c r="P761" s="4"/>
    </row>
    <row r="762" spans="1:16">
      <c r="A762" s="4"/>
      <c r="B762" s="5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5"/>
      <c r="P762" s="4"/>
    </row>
    <row r="763" spans="1:16">
      <c r="A763" s="4"/>
      <c r="B763" s="5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5"/>
      <c r="P763" s="4"/>
    </row>
    <row r="764" spans="1:16">
      <c r="A764" s="4"/>
      <c r="B764" s="5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5"/>
      <c r="P764" s="4"/>
    </row>
    <row r="765" spans="1:16">
      <c r="A765" s="4"/>
      <c r="B765" s="5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5"/>
      <c r="P765" s="4"/>
    </row>
    <row r="766" spans="1:16">
      <c r="A766" s="4"/>
      <c r="B766" s="5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5"/>
      <c r="P766" s="4"/>
    </row>
    <row r="767" spans="1:16">
      <c r="A767" s="4"/>
      <c r="B767" s="5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5"/>
      <c r="P767" s="4"/>
    </row>
    <row r="768" spans="1:16">
      <c r="A768" s="4"/>
      <c r="B768" s="5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5"/>
      <c r="P768" s="4"/>
    </row>
    <row r="769" spans="1:16">
      <c r="A769" s="4"/>
      <c r="B769" s="5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5"/>
      <c r="P769" s="4"/>
    </row>
    <row r="770" spans="1:16">
      <c r="A770" s="4"/>
      <c r="B770" s="5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5"/>
      <c r="P770" s="4"/>
    </row>
    <row r="771" spans="1:16">
      <c r="A771" s="4"/>
      <c r="B771" s="5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5"/>
      <c r="P771" s="4"/>
    </row>
    <row r="772" spans="1:16">
      <c r="A772" s="4"/>
      <c r="B772" s="5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5"/>
      <c r="P772" s="4"/>
    </row>
    <row r="773" spans="1:16">
      <c r="A773" s="4"/>
      <c r="B773" s="5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5"/>
      <c r="P773" s="4"/>
    </row>
    <row r="774" spans="1:16">
      <c r="A774" s="4"/>
      <c r="B774" s="5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5"/>
      <c r="P774" s="4"/>
    </row>
    <row r="775" spans="1:16">
      <c r="A775" s="4"/>
      <c r="B775" s="5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5"/>
      <c r="P775" s="4"/>
    </row>
    <row r="776" spans="1:16">
      <c r="A776" s="4"/>
      <c r="B776" s="5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5"/>
      <c r="P776" s="4"/>
    </row>
    <row r="777" spans="1:16">
      <c r="A777" s="4"/>
      <c r="B777" s="5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5"/>
      <c r="P777" s="4"/>
    </row>
    <row r="778" spans="1:16">
      <c r="A778" s="4"/>
      <c r="B778" s="5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5"/>
      <c r="P778" s="4"/>
    </row>
    <row r="779" spans="1:16">
      <c r="A779" s="4"/>
      <c r="B779" s="5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5"/>
      <c r="P779" s="4"/>
    </row>
    <row r="780" spans="1:16">
      <c r="A780" s="4"/>
      <c r="B780" s="5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5"/>
      <c r="P780" s="4"/>
    </row>
    <row r="781" spans="1:16">
      <c r="A781" s="4"/>
      <c r="B781" s="5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5"/>
      <c r="P781" s="4"/>
    </row>
    <row r="782" spans="1:16">
      <c r="A782" s="4"/>
      <c r="B782" s="5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5"/>
      <c r="P782" s="4"/>
    </row>
    <row r="783" spans="1:16">
      <c r="A783" s="4"/>
      <c r="B783" s="5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5"/>
      <c r="P783" s="4"/>
    </row>
    <row r="784" spans="1:16">
      <c r="A784" s="4"/>
      <c r="B784" s="5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5"/>
      <c r="P784" s="4"/>
    </row>
    <row r="785" spans="1:16">
      <c r="A785" s="4"/>
      <c r="B785" s="5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5"/>
      <c r="P785" s="4"/>
    </row>
    <row r="786" spans="1:16">
      <c r="A786" s="4"/>
      <c r="B786" s="5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5"/>
      <c r="P786" s="4"/>
    </row>
    <row r="787" spans="1:16">
      <c r="A787" s="4"/>
      <c r="B787" s="5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5"/>
      <c r="P787" s="4"/>
    </row>
    <row r="788" spans="1:16">
      <c r="A788" s="4"/>
      <c r="B788" s="5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5"/>
      <c r="P788" s="4"/>
    </row>
    <row r="789" spans="1:16">
      <c r="A789" s="4"/>
      <c r="B789" s="5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5"/>
      <c r="P789" s="4"/>
    </row>
    <row r="790" spans="1:16">
      <c r="A790" s="4"/>
      <c r="B790" s="5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5"/>
      <c r="P790" s="4"/>
    </row>
    <row r="791" spans="1:16">
      <c r="A791" s="4"/>
      <c r="B791" s="5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5"/>
      <c r="P791" s="4"/>
    </row>
    <row r="792" spans="1:16">
      <c r="A792" s="4"/>
      <c r="B792" s="5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5"/>
      <c r="P792" s="4"/>
    </row>
    <row r="793" spans="1:16">
      <c r="A793" s="4"/>
      <c r="B793" s="5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5"/>
      <c r="P793" s="4"/>
    </row>
    <row r="794" spans="1:16">
      <c r="A794" s="4"/>
      <c r="B794" s="5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5"/>
      <c r="P794" s="4"/>
    </row>
    <row r="795" spans="1:16">
      <c r="A795" s="4"/>
      <c r="B795" s="5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5"/>
      <c r="P795" s="4"/>
    </row>
    <row r="796" spans="1:16">
      <c r="A796" s="4"/>
      <c r="B796" s="5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5"/>
      <c r="P796" s="4"/>
    </row>
    <row r="797" spans="1:16">
      <c r="A797" s="4"/>
      <c r="B797" s="5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5"/>
      <c r="P797" s="4"/>
    </row>
    <row r="798" spans="1:16">
      <c r="A798" s="4"/>
      <c r="B798" s="5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5"/>
      <c r="P798" s="4"/>
    </row>
    <row r="799" spans="1:16">
      <c r="A799" s="4"/>
      <c r="B799" s="5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5"/>
      <c r="P799" s="4"/>
    </row>
    <row r="800" spans="1:16">
      <c r="A800" s="4"/>
      <c r="B800" s="5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5"/>
      <c r="P800" s="4"/>
    </row>
    <row r="801" spans="1:16">
      <c r="A801" s="4"/>
      <c r="B801" s="5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5"/>
      <c r="P801" s="4"/>
    </row>
    <row r="802" spans="1:16">
      <c r="A802" s="4"/>
      <c r="B802" s="5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5"/>
      <c r="P802" s="4"/>
    </row>
    <row r="803" spans="1:16">
      <c r="A803" s="4"/>
      <c r="B803" s="5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5"/>
      <c r="P803" s="4"/>
    </row>
    <row r="804" spans="1:16">
      <c r="A804" s="4"/>
      <c r="B804" s="5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5"/>
      <c r="P804" s="4"/>
    </row>
    <row r="805" spans="1:16">
      <c r="A805" s="4"/>
      <c r="B805" s="5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5"/>
      <c r="P805" s="4"/>
    </row>
    <row r="806" spans="1:16">
      <c r="A806" s="4"/>
      <c r="B806" s="5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5"/>
      <c r="P806" s="4"/>
    </row>
    <row r="807" spans="1:16">
      <c r="A807" s="4"/>
      <c r="B807" s="5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5"/>
      <c r="P807" s="4"/>
    </row>
    <row r="808" spans="1:16">
      <c r="A808" s="4"/>
      <c r="B808" s="5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5"/>
      <c r="P808" s="4"/>
    </row>
    <row r="809" spans="1:16">
      <c r="A809" s="4"/>
      <c r="B809" s="5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5"/>
      <c r="P809" s="4"/>
    </row>
    <row r="810" spans="1:16">
      <c r="A810" s="4"/>
      <c r="B810" s="5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5"/>
      <c r="P810" s="4"/>
    </row>
    <row r="811" spans="1:16">
      <c r="A811" s="4"/>
      <c r="B811" s="5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5"/>
      <c r="P811" s="4"/>
    </row>
    <row r="812" spans="1:16">
      <c r="A812" s="4"/>
      <c r="B812" s="5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5"/>
      <c r="P812" s="4"/>
    </row>
    <row r="813" spans="1:16">
      <c r="A813" s="4"/>
      <c r="B813" s="5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5"/>
      <c r="P813" s="4"/>
    </row>
    <row r="814" spans="1:16">
      <c r="A814" s="4"/>
      <c r="B814" s="5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5"/>
      <c r="P814" s="4"/>
    </row>
    <row r="815" spans="1:16">
      <c r="A815" s="4"/>
      <c r="B815" s="5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5"/>
      <c r="P815" s="4"/>
    </row>
    <row r="816" spans="1:16">
      <c r="A816" s="4"/>
      <c r="B816" s="5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5"/>
      <c r="P816" s="4"/>
    </row>
    <row r="817" spans="1:16">
      <c r="A817" s="4"/>
      <c r="B817" s="5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5"/>
      <c r="P817" s="4"/>
    </row>
    <row r="818" spans="1:16">
      <c r="A818" s="4"/>
      <c r="B818" s="5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5"/>
      <c r="P818" s="4"/>
    </row>
    <row r="819" spans="1:16">
      <c r="A819" s="4"/>
      <c r="B819" s="5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5"/>
      <c r="P819" s="4"/>
    </row>
    <row r="820" spans="1:16">
      <c r="A820" s="4"/>
      <c r="B820" s="5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5"/>
      <c r="P820" s="4"/>
    </row>
    <row r="821" spans="1:16">
      <c r="A821" s="4"/>
      <c r="B821" s="5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5"/>
      <c r="P821" s="4"/>
    </row>
    <row r="822" spans="1:16">
      <c r="A822" s="4"/>
      <c r="B822" s="5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5"/>
      <c r="P822" s="4"/>
    </row>
    <row r="823" spans="1:16">
      <c r="A823" s="4"/>
      <c r="B823" s="5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5"/>
      <c r="P823" s="4"/>
    </row>
    <row r="824" spans="1:16">
      <c r="A824" s="4"/>
      <c r="B824" s="5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5"/>
      <c r="P824" s="4"/>
    </row>
    <row r="825" spans="1:16">
      <c r="A825" s="4"/>
      <c r="B825" s="5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5"/>
      <c r="P825" s="4"/>
    </row>
    <row r="826" spans="1:16">
      <c r="A826" s="4"/>
      <c r="B826" s="5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5"/>
      <c r="P826" s="4"/>
    </row>
    <row r="827" spans="1:16">
      <c r="A827" s="4"/>
      <c r="B827" s="5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5"/>
      <c r="P827" s="4"/>
    </row>
    <row r="828" spans="1:16">
      <c r="A828" s="4"/>
      <c r="B828" s="5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5"/>
      <c r="P828" s="4"/>
    </row>
    <row r="829" spans="1:16">
      <c r="A829" s="4"/>
      <c r="B829" s="5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5"/>
      <c r="P829" s="4"/>
    </row>
    <row r="830" spans="1:16">
      <c r="A830" s="4"/>
      <c r="B830" s="5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5"/>
      <c r="P830" s="4"/>
    </row>
    <row r="831" spans="1:16">
      <c r="A831" s="4"/>
      <c r="B831" s="5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5"/>
      <c r="P831" s="4"/>
    </row>
    <row r="832" spans="1:16">
      <c r="A832" s="4"/>
      <c r="B832" s="5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5"/>
      <c r="P832" s="4"/>
    </row>
    <row r="833" spans="1:16">
      <c r="A833" s="4"/>
      <c r="B833" s="5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5"/>
      <c r="P833" s="4"/>
    </row>
    <row r="834" spans="1:16">
      <c r="A834" s="4"/>
      <c r="B834" s="5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5"/>
      <c r="P834" s="4"/>
    </row>
    <row r="835" spans="1:16">
      <c r="A835" s="4"/>
      <c r="B835" s="5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5"/>
      <c r="P835" s="4"/>
    </row>
    <row r="836" spans="1:16">
      <c r="A836" s="4"/>
      <c r="B836" s="5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5"/>
      <c r="P836" s="4"/>
    </row>
    <row r="837" spans="1:16">
      <c r="A837" s="4"/>
      <c r="B837" s="5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5"/>
      <c r="P837" s="4"/>
    </row>
    <row r="838" spans="1:16">
      <c r="A838" s="4"/>
      <c r="B838" s="5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5"/>
      <c r="P838" s="4"/>
    </row>
    <row r="839" spans="1:16">
      <c r="A839" s="4"/>
      <c r="B839" s="5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5"/>
      <c r="P839" s="4"/>
    </row>
    <row r="840" spans="1:16">
      <c r="A840" s="4"/>
      <c r="B840" s="5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5"/>
      <c r="P840" s="4"/>
    </row>
    <row r="841" spans="1:16">
      <c r="A841" s="4"/>
      <c r="B841" s="5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5"/>
      <c r="P841" s="4"/>
    </row>
    <row r="842" spans="1:16">
      <c r="A842" s="4"/>
      <c r="B842" s="5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5"/>
      <c r="P842" s="4"/>
    </row>
    <row r="843" spans="1:16">
      <c r="A843" s="4"/>
      <c r="B843" s="5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5"/>
      <c r="P843" s="4"/>
    </row>
    <row r="844" spans="1:16">
      <c r="A844" s="4"/>
      <c r="B844" s="5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5"/>
      <c r="P844" s="4"/>
    </row>
    <row r="845" spans="1:16">
      <c r="A845" s="4"/>
      <c r="B845" s="5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5"/>
      <c r="P845" s="4"/>
    </row>
    <row r="846" spans="1:16">
      <c r="A846" s="4"/>
      <c r="B846" s="5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5"/>
      <c r="P846" s="4"/>
    </row>
    <row r="847" spans="1:16">
      <c r="A847" s="4"/>
      <c r="B847" s="5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5"/>
      <c r="P847" s="4"/>
    </row>
    <row r="848" spans="1:16">
      <c r="A848" s="4"/>
      <c r="B848" s="5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5"/>
      <c r="P848" s="4"/>
    </row>
    <row r="849" spans="1:16">
      <c r="A849" s="4"/>
      <c r="B849" s="5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5"/>
      <c r="P849" s="4"/>
    </row>
    <row r="850" spans="1:16">
      <c r="A850" s="4"/>
      <c r="B850" s="5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5"/>
      <c r="P850" s="4"/>
    </row>
    <row r="851" spans="1:16">
      <c r="A851" s="4"/>
      <c r="B851" s="5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5"/>
      <c r="P851" s="4"/>
    </row>
    <row r="852" spans="1:16">
      <c r="A852" s="4"/>
      <c r="B852" s="5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5"/>
      <c r="P852" s="4"/>
    </row>
    <row r="853" spans="1:16">
      <c r="A853" s="4"/>
      <c r="B853" s="5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5"/>
      <c r="P853" s="4"/>
    </row>
    <row r="854" spans="1:16">
      <c r="A854" s="4"/>
      <c r="B854" s="5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5"/>
      <c r="P854" s="4"/>
    </row>
    <row r="855" spans="1:16">
      <c r="A855" s="4"/>
      <c r="B855" s="5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5"/>
      <c r="P855" s="4"/>
    </row>
    <row r="856" spans="1:16">
      <c r="A856" s="4"/>
      <c r="B856" s="5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5"/>
      <c r="P856" s="4"/>
    </row>
    <row r="857" spans="1:16">
      <c r="A857" s="4"/>
      <c r="B857" s="5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5"/>
      <c r="P857" s="4"/>
    </row>
    <row r="858" spans="1:16">
      <c r="A858" s="4"/>
      <c r="B858" s="5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5"/>
      <c r="P858" s="4"/>
    </row>
    <row r="859" spans="1:16">
      <c r="A859" s="4"/>
      <c r="B859" s="5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5"/>
      <c r="P859" s="4"/>
    </row>
    <row r="860" spans="1:16">
      <c r="A860" s="4"/>
      <c r="B860" s="5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5"/>
      <c r="P860" s="4"/>
    </row>
    <row r="861" spans="1:16">
      <c r="A861" s="4"/>
      <c r="B861" s="5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5"/>
      <c r="P861" s="4"/>
    </row>
    <row r="862" spans="1:16">
      <c r="A862" s="4"/>
      <c r="B862" s="5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5"/>
      <c r="P862" s="4"/>
    </row>
    <row r="863" spans="1:16">
      <c r="A863" s="4"/>
      <c r="B863" s="5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5"/>
      <c r="P863" s="4"/>
    </row>
    <row r="864" spans="1:16">
      <c r="A864" s="4"/>
      <c r="B864" s="5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5"/>
      <c r="P864" s="4"/>
    </row>
    <row r="865" spans="1:16">
      <c r="A865" s="4"/>
      <c r="B865" s="5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5"/>
      <c r="P865" s="4"/>
    </row>
    <row r="866" spans="1:16">
      <c r="A866" s="4"/>
      <c r="B866" s="5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5"/>
      <c r="P866" s="4"/>
    </row>
    <row r="867" spans="1:16">
      <c r="A867" s="4"/>
      <c r="B867" s="5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5"/>
      <c r="P867" s="4"/>
    </row>
    <row r="868" spans="1:16">
      <c r="A868" s="4"/>
      <c r="B868" s="5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5"/>
      <c r="P868" s="4"/>
    </row>
    <row r="869" spans="1:16">
      <c r="A869" s="4"/>
      <c r="B869" s="5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5"/>
      <c r="P869" s="4"/>
    </row>
    <row r="870" spans="1:16">
      <c r="A870" s="4"/>
      <c r="B870" s="5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5"/>
      <c r="P870" s="4"/>
    </row>
    <row r="871" spans="1:16">
      <c r="A871" s="4"/>
      <c r="B871" s="5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5"/>
      <c r="P871" s="4"/>
    </row>
    <row r="872" spans="1:16">
      <c r="A872" s="4"/>
      <c r="B872" s="5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5"/>
      <c r="P872" s="4"/>
    </row>
    <row r="873" spans="1:16">
      <c r="A873" s="4"/>
      <c r="B873" s="5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5"/>
      <c r="P873" s="4"/>
    </row>
    <row r="874" spans="1:16">
      <c r="A874" s="4"/>
      <c r="B874" s="5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5"/>
      <c r="P874" s="4"/>
    </row>
    <row r="875" spans="1:16">
      <c r="A875" s="4"/>
      <c r="B875" s="5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5"/>
      <c r="P875" s="4"/>
    </row>
    <row r="876" spans="1:16">
      <c r="A876" s="4"/>
      <c r="B876" s="5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5"/>
      <c r="P876" s="4"/>
    </row>
    <row r="877" spans="1:16">
      <c r="A877" s="4"/>
      <c r="B877" s="5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5"/>
      <c r="P877" s="4"/>
    </row>
    <row r="878" spans="1:16">
      <c r="A878" s="4"/>
      <c r="B878" s="5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5"/>
      <c r="P878" s="4"/>
    </row>
    <row r="879" spans="1:16">
      <c r="A879" s="4"/>
      <c r="B879" s="5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5"/>
      <c r="P879" s="4"/>
    </row>
    <row r="880" spans="1:16">
      <c r="A880" s="4"/>
      <c r="B880" s="5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5"/>
      <c r="P880" s="4"/>
    </row>
    <row r="881" spans="1:16">
      <c r="A881" s="4"/>
      <c r="B881" s="5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5"/>
      <c r="P881" s="4"/>
    </row>
    <row r="882" spans="1:16">
      <c r="A882" s="4"/>
      <c r="B882" s="5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5"/>
      <c r="P882" s="4"/>
    </row>
    <row r="883" spans="1:16">
      <c r="A883" s="4"/>
      <c r="B883" s="5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5"/>
      <c r="P883" s="4"/>
    </row>
    <row r="884" spans="1:16">
      <c r="A884" s="4"/>
      <c r="B884" s="5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5"/>
      <c r="P884" s="4"/>
    </row>
    <row r="885" spans="1:16">
      <c r="A885" s="4"/>
      <c r="B885" s="5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5"/>
      <c r="P885" s="4"/>
    </row>
    <row r="886" spans="1:16">
      <c r="A886" s="4"/>
      <c r="B886" s="5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5"/>
      <c r="P886" s="4"/>
    </row>
    <row r="887" spans="1:16">
      <c r="A887" s="4"/>
      <c r="B887" s="5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5"/>
      <c r="P887" s="4"/>
    </row>
    <row r="888" spans="1:16">
      <c r="A888" s="4"/>
      <c r="B888" s="5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5"/>
      <c r="P888" s="4"/>
    </row>
    <row r="889" spans="1:16">
      <c r="A889" s="4"/>
      <c r="B889" s="5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5"/>
      <c r="P889" s="4"/>
    </row>
    <row r="890" spans="1:16">
      <c r="A890" s="4"/>
      <c r="B890" s="5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5"/>
      <c r="P890" s="4"/>
    </row>
    <row r="891" spans="1:16">
      <c r="A891" s="4"/>
      <c r="B891" s="5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5"/>
      <c r="P891" s="4"/>
    </row>
    <row r="892" spans="1:16">
      <c r="A892" s="4"/>
      <c r="B892" s="5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5"/>
      <c r="P892" s="4"/>
    </row>
    <row r="893" spans="1:16">
      <c r="A893" s="4"/>
      <c r="B893" s="5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5"/>
      <c r="P893" s="4"/>
    </row>
    <row r="894" spans="1:16">
      <c r="A894" s="4"/>
      <c r="B894" s="5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5"/>
      <c r="P894" s="4"/>
    </row>
    <row r="895" spans="1:16">
      <c r="A895" s="4"/>
      <c r="B895" s="5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5"/>
      <c r="P895" s="4"/>
    </row>
    <row r="896" spans="1:16">
      <c r="A896" s="4"/>
      <c r="B896" s="5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5"/>
      <c r="P896" s="4"/>
    </row>
    <row r="897" spans="1:16">
      <c r="A897" s="4"/>
      <c r="B897" s="5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5"/>
      <c r="P897" s="4"/>
    </row>
    <row r="898" spans="1:16">
      <c r="A898" s="4"/>
      <c r="B898" s="5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5"/>
      <c r="P898" s="4"/>
    </row>
    <row r="899" spans="1:16">
      <c r="A899" s="4"/>
      <c r="B899" s="5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5"/>
      <c r="P899" s="4"/>
    </row>
    <row r="900" spans="1:16">
      <c r="A900" s="4"/>
      <c r="B900" s="5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5"/>
      <c r="P900" s="4"/>
    </row>
    <row r="901" spans="1:16">
      <c r="A901" s="4"/>
      <c r="B901" s="5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5"/>
      <c r="P901" s="4"/>
    </row>
    <row r="902" spans="1:16">
      <c r="A902" s="4"/>
      <c r="B902" s="5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5"/>
      <c r="P902" s="4"/>
    </row>
    <row r="903" spans="1:16">
      <c r="A903" s="4"/>
      <c r="B903" s="5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5"/>
      <c r="P903" s="4"/>
    </row>
    <row r="904" spans="1:16">
      <c r="A904" s="4"/>
      <c r="B904" s="5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5"/>
      <c r="P904" s="4"/>
    </row>
    <row r="905" spans="1:16">
      <c r="A905" s="4"/>
      <c r="B905" s="5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5"/>
      <c r="P905" s="4"/>
    </row>
    <row r="906" spans="1:16">
      <c r="A906" s="4"/>
      <c r="B906" s="5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5"/>
      <c r="P906" s="4"/>
    </row>
    <row r="907" spans="1:16">
      <c r="A907" s="4"/>
      <c r="B907" s="5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5"/>
      <c r="P907" s="4"/>
    </row>
    <row r="908" spans="1:16">
      <c r="A908" s="4"/>
      <c r="B908" s="5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5"/>
      <c r="P908" s="4"/>
    </row>
    <row r="909" spans="1:16">
      <c r="A909" s="4"/>
      <c r="B909" s="5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5"/>
      <c r="P909" s="4"/>
    </row>
    <row r="910" spans="1:16">
      <c r="A910" s="4"/>
      <c r="B910" s="5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5"/>
      <c r="P910" s="4"/>
    </row>
    <row r="911" spans="1:16">
      <c r="A911" s="4"/>
      <c r="B911" s="5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5"/>
      <c r="P911" s="4"/>
    </row>
    <row r="912" spans="1:16">
      <c r="A912" s="4"/>
      <c r="B912" s="5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5"/>
      <c r="P912" s="4"/>
    </row>
    <row r="913" spans="1:16">
      <c r="A913" s="4"/>
      <c r="B913" s="5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5"/>
      <c r="P913" s="4"/>
    </row>
    <row r="914" spans="1:16">
      <c r="A914" s="4"/>
      <c r="B914" s="5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5"/>
      <c r="P914" s="4"/>
    </row>
    <row r="915" spans="1:16">
      <c r="A915" s="4"/>
      <c r="B915" s="5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5"/>
      <c r="P915" s="4"/>
    </row>
    <row r="916" spans="1:16">
      <c r="A916" s="4"/>
      <c r="B916" s="5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5"/>
      <c r="P916" s="4"/>
    </row>
    <row r="917" spans="1:16">
      <c r="A917" s="4"/>
      <c r="B917" s="5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5"/>
      <c r="P917" s="4"/>
    </row>
    <row r="918" spans="1:16">
      <c r="A918" s="4"/>
      <c r="B918" s="5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5"/>
      <c r="P918" s="4"/>
    </row>
    <row r="919" spans="1:16">
      <c r="A919" s="4"/>
      <c r="B919" s="5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5"/>
      <c r="P919" s="4"/>
    </row>
    <row r="920" spans="1:16">
      <c r="A920" s="4"/>
      <c r="B920" s="5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5"/>
      <c r="P920" s="4"/>
    </row>
    <row r="921" spans="1:16">
      <c r="A921" s="4"/>
      <c r="B921" s="5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5"/>
      <c r="P921" s="4"/>
    </row>
    <row r="922" spans="1:16">
      <c r="A922" s="4"/>
      <c r="B922" s="5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5"/>
      <c r="P922" s="4"/>
    </row>
    <row r="923" spans="1:16">
      <c r="A923" s="4"/>
      <c r="B923" s="5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5"/>
      <c r="P923" s="4"/>
    </row>
    <row r="924" spans="1:16">
      <c r="A924" s="4"/>
      <c r="B924" s="5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5"/>
      <c r="P924" s="4"/>
    </row>
    <row r="925" spans="1:16">
      <c r="A925" s="4"/>
      <c r="B925" s="5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5"/>
      <c r="P925" s="4"/>
    </row>
    <row r="926" spans="1:16">
      <c r="A926" s="4"/>
      <c r="B926" s="5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5"/>
      <c r="P926" s="4"/>
    </row>
    <row r="927" spans="1:16">
      <c r="A927" s="4"/>
      <c r="B927" s="5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5"/>
      <c r="P927" s="4"/>
    </row>
    <row r="928" spans="1:16">
      <c r="A928" s="4"/>
      <c r="B928" s="5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5"/>
      <c r="P928" s="4"/>
    </row>
    <row r="929" spans="1:16">
      <c r="A929" s="4"/>
      <c r="B929" s="5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5"/>
      <c r="P929" s="4"/>
    </row>
    <row r="930" spans="1:16">
      <c r="A930" s="4"/>
      <c r="B930" s="5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5"/>
      <c r="P930" s="4"/>
    </row>
    <row r="931" spans="1:16">
      <c r="A931" s="4"/>
      <c r="B931" s="5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5"/>
      <c r="P931" s="4"/>
    </row>
    <row r="932" spans="1:16">
      <c r="A932" s="4"/>
      <c r="B932" s="5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5"/>
      <c r="P932" s="4"/>
    </row>
    <row r="933" spans="1:16">
      <c r="A933" s="4"/>
      <c r="B933" s="5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5"/>
      <c r="P933" s="4"/>
    </row>
    <row r="934" spans="1:16">
      <c r="A934" s="4"/>
      <c r="B934" s="5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5"/>
      <c r="P934" s="4"/>
    </row>
    <row r="935" spans="1:16">
      <c r="A935" s="4"/>
      <c r="B935" s="5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5"/>
      <c r="P935" s="4"/>
    </row>
    <row r="936" spans="1:16">
      <c r="A936" s="4"/>
      <c r="B936" s="5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5"/>
      <c r="P936" s="4"/>
    </row>
    <row r="937" spans="1:16">
      <c r="A937" s="4"/>
      <c r="B937" s="5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5"/>
      <c r="P937" s="4"/>
    </row>
    <row r="938" spans="1:16">
      <c r="A938" s="4"/>
      <c r="B938" s="5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5"/>
      <c r="P938" s="4"/>
    </row>
    <row r="939" spans="1:16">
      <c r="A939" s="4"/>
      <c r="B939" s="5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5"/>
      <c r="P939" s="4"/>
    </row>
    <row r="940" spans="1:16">
      <c r="A940" s="4"/>
      <c r="B940" s="5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5"/>
      <c r="P940" s="4"/>
    </row>
    <row r="941" spans="1:16">
      <c r="A941" s="4"/>
      <c r="B941" s="5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5"/>
      <c r="P941" s="4"/>
    </row>
    <row r="942" spans="1:16">
      <c r="A942" s="4"/>
      <c r="B942" s="5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5"/>
      <c r="P942" s="4"/>
    </row>
    <row r="943" spans="1:16">
      <c r="A943" s="4"/>
      <c r="B943" s="5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5"/>
      <c r="P943" s="4"/>
    </row>
    <row r="944" spans="1:16">
      <c r="A944" s="4"/>
      <c r="B944" s="5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5"/>
      <c r="P944" s="4"/>
    </row>
    <row r="945" spans="1:16">
      <c r="A945" s="4"/>
      <c r="B945" s="5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5"/>
      <c r="P945" s="4"/>
    </row>
    <row r="946" spans="1:16">
      <c r="A946" s="4"/>
      <c r="B946" s="5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5"/>
      <c r="P946" s="4"/>
    </row>
    <row r="947" spans="1:16">
      <c r="A947" s="4"/>
      <c r="B947" s="5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5"/>
      <c r="P947" s="4"/>
    </row>
    <row r="948" spans="1:16">
      <c r="A948" s="4"/>
      <c r="B948" s="5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5"/>
      <c r="P948" s="4"/>
    </row>
    <row r="949" spans="1:16">
      <c r="A949" s="4"/>
      <c r="B949" s="5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5"/>
      <c r="P949" s="4"/>
    </row>
    <row r="950" spans="1:16">
      <c r="A950" s="4"/>
      <c r="B950" s="5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5"/>
      <c r="P950" s="4"/>
    </row>
    <row r="951" spans="1:16">
      <c r="A951" s="4"/>
      <c r="B951" s="5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5"/>
      <c r="P951" s="4"/>
    </row>
    <row r="952" spans="1:16">
      <c r="A952" s="4"/>
      <c r="B952" s="5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5"/>
      <c r="P952" s="4"/>
    </row>
    <row r="953" spans="1:16">
      <c r="A953" s="4"/>
      <c r="B953" s="5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5"/>
      <c r="P953" s="4"/>
    </row>
    <row r="954" spans="1:16">
      <c r="A954" s="4"/>
      <c r="B954" s="5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5"/>
      <c r="P954" s="4"/>
    </row>
    <row r="955" spans="1:16">
      <c r="A955" s="4"/>
      <c r="B955" s="5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5"/>
      <c r="P955" s="4"/>
    </row>
    <row r="956" spans="1:16">
      <c r="A956" s="4"/>
      <c r="B956" s="5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5"/>
      <c r="P956" s="4"/>
    </row>
    <row r="957" spans="1:16">
      <c r="A957" s="4"/>
      <c r="B957" s="5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5"/>
      <c r="P957" s="4"/>
    </row>
    <row r="958" spans="1:16">
      <c r="A958" s="4"/>
      <c r="B958" s="5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5"/>
      <c r="P958" s="4"/>
    </row>
    <row r="959" spans="1:16">
      <c r="A959" s="4"/>
      <c r="B959" s="5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5"/>
      <c r="P959" s="4"/>
    </row>
    <row r="960" spans="1:16">
      <c r="A960" s="4"/>
      <c r="B960" s="5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5"/>
      <c r="P960" s="4"/>
    </row>
    <row r="961" spans="1:16">
      <c r="A961" s="4"/>
      <c r="B961" s="5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5"/>
      <c r="P961" s="4"/>
    </row>
    <row r="962" spans="1:16">
      <c r="A962" s="4"/>
      <c r="B962" s="5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5"/>
      <c r="P962" s="4"/>
    </row>
    <row r="963" spans="1:16">
      <c r="A963" s="4"/>
      <c r="B963" s="5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5"/>
      <c r="P963" s="4"/>
    </row>
    <row r="964" spans="1:16">
      <c r="A964" s="4"/>
      <c r="B964" s="5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5"/>
      <c r="P964" s="4"/>
    </row>
    <row r="965" spans="1:16">
      <c r="A965" s="4"/>
      <c r="B965" s="5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5"/>
      <c r="P965" s="4"/>
    </row>
    <row r="966" spans="1:16">
      <c r="A966" s="4"/>
      <c r="B966" s="5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5"/>
      <c r="P966" s="4"/>
    </row>
    <row r="967" spans="1:16">
      <c r="A967" s="4"/>
      <c r="B967" s="5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5"/>
      <c r="P967" s="4"/>
    </row>
    <row r="968" spans="1:16">
      <c r="A968" s="4"/>
      <c r="B968" s="5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5"/>
      <c r="P968" s="4"/>
    </row>
    <row r="969" spans="1:16">
      <c r="A969" s="4"/>
      <c r="B969" s="5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5"/>
      <c r="P969" s="4"/>
    </row>
    <row r="970" spans="1:16">
      <c r="A970" s="4"/>
      <c r="B970" s="5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5"/>
      <c r="P970" s="4"/>
    </row>
    <row r="971" spans="1:16">
      <c r="A971" s="4"/>
      <c r="B971" s="5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5"/>
      <c r="P971" s="4"/>
    </row>
    <row r="972" spans="1:16">
      <c r="A972" s="4"/>
      <c r="B972" s="5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5"/>
      <c r="P972" s="4"/>
    </row>
    <row r="973" spans="1:16">
      <c r="A973" s="4"/>
      <c r="B973" s="5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5"/>
      <c r="P973" s="4"/>
    </row>
    <row r="974" spans="1:16">
      <c r="A974" s="4"/>
      <c r="B974" s="5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5"/>
      <c r="P974" s="4"/>
    </row>
    <row r="975" spans="1:16">
      <c r="A975" s="4"/>
      <c r="B975" s="5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5"/>
      <c r="P975" s="4"/>
    </row>
    <row r="976" spans="1:16">
      <c r="A976" s="4"/>
      <c r="B976" s="5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5"/>
      <c r="P976" s="4"/>
    </row>
    <row r="977" spans="1:16">
      <c r="A977" s="4"/>
      <c r="B977" s="5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5"/>
      <c r="P977" s="4"/>
    </row>
    <row r="978" spans="1:16">
      <c r="A978" s="4"/>
      <c r="B978" s="5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5"/>
      <c r="P978" s="4"/>
    </row>
    <row r="979" spans="1:16">
      <c r="A979" s="4"/>
      <c r="B979" s="5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5"/>
      <c r="P979" s="4"/>
    </row>
    <row r="980" spans="1:16">
      <c r="A980" s="4"/>
      <c r="B980" s="5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5"/>
      <c r="P980" s="4"/>
    </row>
    <row r="981" spans="1:16">
      <c r="A981" s="4"/>
      <c r="B981" s="5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5"/>
      <c r="P981" s="4"/>
    </row>
    <row r="982" spans="1:16">
      <c r="A982" s="4"/>
      <c r="B982" s="5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5"/>
      <c r="P982" s="4"/>
    </row>
    <row r="983" spans="1:16">
      <c r="A983" s="4"/>
      <c r="B983" s="5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5"/>
      <c r="P983" s="4"/>
    </row>
    <row r="984" spans="1:16">
      <c r="A984" s="4"/>
      <c r="B984" s="5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5"/>
      <c r="P984" s="4"/>
    </row>
    <row r="985" spans="1:16">
      <c r="A985" s="4"/>
      <c r="B985" s="5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5"/>
      <c r="P985" s="4"/>
    </row>
    <row r="986" spans="1:16">
      <c r="A986" s="4"/>
      <c r="B986" s="5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5"/>
      <c r="P986" s="4"/>
    </row>
    <row r="987" spans="1:16">
      <c r="A987" s="4"/>
      <c r="B987" s="5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5"/>
      <c r="P987" s="4"/>
    </row>
    <row r="988" spans="1:16">
      <c r="A988" s="4"/>
      <c r="B988" s="5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5"/>
      <c r="P988" s="4"/>
    </row>
    <row r="989" spans="1:16">
      <c r="A989" s="4"/>
      <c r="B989" s="5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5"/>
      <c r="P989" s="4"/>
    </row>
    <row r="990" spans="1:16">
      <c r="A990" s="4"/>
      <c r="B990" s="5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5"/>
      <c r="P990" s="4"/>
    </row>
    <row r="991" spans="1:16">
      <c r="A991" s="4"/>
      <c r="B991" s="5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5"/>
      <c r="P991" s="4"/>
    </row>
    <row r="992" spans="1:16">
      <c r="A992" s="4"/>
      <c r="B992" s="5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5"/>
      <c r="P992" s="4"/>
    </row>
    <row r="993" spans="1:16">
      <c r="A993" s="4"/>
      <c r="B993" s="5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5"/>
      <c r="P993" s="4"/>
    </row>
    <row r="994" spans="1:16">
      <c r="A994" s="4"/>
      <c r="B994" s="5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5"/>
      <c r="P994" s="4"/>
    </row>
    <row r="995" spans="1:16">
      <c r="A995" s="4"/>
      <c r="B995" s="5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5"/>
      <c r="P995" s="4"/>
    </row>
    <row r="996" spans="1:16">
      <c r="A996" s="4"/>
      <c r="B996" s="5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5"/>
      <c r="P996" s="4"/>
    </row>
    <row r="997" spans="1:16">
      <c r="A997" s="4"/>
      <c r="B997" s="5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5"/>
      <c r="P997" s="4"/>
    </row>
    <row r="998" spans="1:16">
      <c r="A998" s="4"/>
      <c r="B998" s="5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5"/>
      <c r="P998" s="4"/>
    </row>
    <row r="999" spans="1:16">
      <c r="A999" s="4"/>
      <c r="B999" s="5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5"/>
      <c r="P999" s="4"/>
    </row>
    <row r="1000" spans="1:16">
      <c r="A1000" s="4"/>
      <c r="B1000" s="5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5"/>
      <c r="P1000" s="4"/>
    </row>
    <row r="1001" spans="1:16">
      <c r="A1001" s="4"/>
      <c r="B1001" s="5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5"/>
      <c r="P1001" s="4"/>
    </row>
    <row r="1002" spans="1:16">
      <c r="A1002" s="4"/>
      <c r="B1002" s="5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5"/>
      <c r="P1002" s="4"/>
    </row>
    <row r="1003" spans="1:16">
      <c r="A1003" s="4"/>
      <c r="B1003" s="5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5"/>
      <c r="P1003" s="4"/>
    </row>
    <row r="1004" spans="1:16">
      <c r="A1004" s="4"/>
      <c r="B1004" s="5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5"/>
      <c r="P1004" s="4"/>
    </row>
    <row r="1005" spans="1:16">
      <c r="A1005" s="4"/>
      <c r="B1005" s="5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5"/>
      <c r="P1005" s="4"/>
    </row>
    <row r="1006" spans="1:16">
      <c r="A1006" s="4"/>
      <c r="B1006" s="5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5"/>
      <c r="P1006" s="4"/>
    </row>
    <row r="1007" spans="1:16">
      <c r="A1007" s="4"/>
      <c r="B1007" s="5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5"/>
      <c r="P1007" s="4"/>
    </row>
    <row r="1008" spans="1:16">
      <c r="A1008" s="4"/>
      <c r="B1008" s="5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5"/>
      <c r="P1008" s="4"/>
    </row>
    <row r="1009" spans="1:16">
      <c r="A1009" s="4"/>
      <c r="B1009" s="5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5"/>
      <c r="P1009" s="4"/>
    </row>
    <row r="1010" spans="1:16">
      <c r="A1010" s="4"/>
      <c r="B1010" s="5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5"/>
      <c r="P1010" s="4"/>
    </row>
    <row r="1011" spans="1:16">
      <c r="A1011" s="4"/>
      <c r="B1011" s="5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5"/>
      <c r="P1011" s="4"/>
    </row>
    <row r="1012" spans="1:16">
      <c r="A1012" s="4"/>
      <c r="B1012" s="5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5"/>
      <c r="P1012" s="4"/>
    </row>
    <row r="1013" spans="1:16">
      <c r="A1013" s="4"/>
      <c r="B1013" s="5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5"/>
      <c r="P1013" s="4"/>
    </row>
    <row r="1014" spans="1:16">
      <c r="A1014" s="4"/>
      <c r="B1014" s="5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5"/>
      <c r="P1014" s="4"/>
    </row>
    <row r="1015" spans="1:16">
      <c r="A1015" s="4"/>
      <c r="B1015" s="5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5"/>
      <c r="P1015" s="4"/>
    </row>
    <row r="1016" spans="1:16">
      <c r="A1016" s="4"/>
      <c r="B1016" s="5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5"/>
      <c r="P1016" s="4"/>
    </row>
    <row r="1017" spans="1:16">
      <c r="A1017" s="4"/>
      <c r="B1017" s="5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5"/>
      <c r="P1017" s="4"/>
    </row>
    <row r="1018" spans="1:16">
      <c r="A1018" s="4"/>
      <c r="B1018" s="5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5"/>
      <c r="P1018" s="4"/>
    </row>
    <row r="1019" spans="1:16">
      <c r="A1019" s="4"/>
      <c r="B1019" s="5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5"/>
      <c r="P1019" s="4"/>
    </row>
    <row r="1020" spans="1:16">
      <c r="A1020" s="4"/>
      <c r="B1020" s="5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5"/>
      <c r="P1020" s="4"/>
    </row>
    <row r="1021" spans="1:16">
      <c r="A1021" s="4"/>
      <c r="B1021" s="5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5"/>
      <c r="P1021" s="4"/>
    </row>
    <row r="1022" spans="1:16">
      <c r="A1022" s="4"/>
      <c r="B1022" s="5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5"/>
      <c r="P1022" s="4"/>
    </row>
    <row r="1023" spans="1:16">
      <c r="A1023" s="4"/>
      <c r="B1023" s="5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5"/>
      <c r="P1023" s="4"/>
    </row>
    <row r="1024" spans="1:16">
      <c r="A1024" s="4"/>
      <c r="B1024" s="5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5"/>
      <c r="P1024" s="4"/>
    </row>
    <row r="1025" spans="1:16">
      <c r="A1025" s="4"/>
      <c r="B1025" s="5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5"/>
      <c r="P1025" s="4"/>
    </row>
    <row r="1026" spans="1:16">
      <c r="A1026" s="4"/>
      <c r="B1026" s="5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5"/>
      <c r="P1026" s="4"/>
    </row>
    <row r="1027" spans="1:16">
      <c r="A1027" s="4"/>
      <c r="B1027" s="5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5"/>
      <c r="P1027" s="4"/>
    </row>
    <row r="1028" spans="1:16">
      <c r="A1028" s="4"/>
      <c r="B1028" s="5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5"/>
      <c r="P1028" s="4"/>
    </row>
    <row r="1029" spans="1:16">
      <c r="A1029" s="4"/>
      <c r="B1029" s="5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5"/>
      <c r="P1029" s="4"/>
    </row>
    <row r="1030" spans="1:16">
      <c r="A1030" s="4"/>
      <c r="B1030" s="5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5"/>
      <c r="P1030" s="4"/>
    </row>
    <row r="1031" spans="1:16">
      <c r="A1031" s="4"/>
      <c r="B1031" s="5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5"/>
      <c r="P1031" s="4"/>
    </row>
    <row r="1032" spans="1:16">
      <c r="A1032" s="4"/>
      <c r="B1032" s="5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5"/>
      <c r="P1032" s="4"/>
    </row>
    <row r="1033" spans="1:16">
      <c r="A1033" s="4"/>
      <c r="B1033" s="5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5"/>
      <c r="P1033" s="4"/>
    </row>
    <row r="1034" spans="1:16">
      <c r="A1034" s="4"/>
      <c r="B1034" s="5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5"/>
      <c r="P1034" s="4"/>
    </row>
    <row r="1035" spans="1:16">
      <c r="A1035" s="4"/>
      <c r="B1035" s="5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5"/>
      <c r="P1035" s="4"/>
    </row>
    <row r="1036" spans="1:16">
      <c r="A1036" s="4"/>
      <c r="B1036" s="5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5"/>
      <c r="P1036" s="4"/>
    </row>
    <row r="1037" spans="1:16">
      <c r="A1037" s="4"/>
      <c r="B1037" s="5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5"/>
      <c r="P1037" s="4"/>
    </row>
    <row r="1038" spans="1:16">
      <c r="A1038" s="4"/>
      <c r="B1038" s="5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5"/>
      <c r="P1038" s="4"/>
    </row>
    <row r="1039" spans="1:16">
      <c r="A1039" s="4"/>
      <c r="B1039" s="5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5"/>
      <c r="P1039" s="4"/>
    </row>
    <row r="1040" spans="1:16">
      <c r="A1040" s="4"/>
      <c r="B1040" s="5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5"/>
      <c r="P1040" s="4"/>
    </row>
    <row r="1041" spans="1:16">
      <c r="A1041" s="4"/>
      <c r="B1041" s="5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5"/>
      <c r="P1041" s="4"/>
    </row>
    <row r="1042" spans="1:16">
      <c r="A1042" s="4"/>
      <c r="B1042" s="5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5"/>
      <c r="P1042" s="4"/>
    </row>
    <row r="1043" spans="1:16">
      <c r="A1043" s="4"/>
      <c r="B1043" s="5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5"/>
      <c r="P1043" s="4"/>
    </row>
    <row r="1044" spans="1:16">
      <c r="A1044" s="4"/>
      <c r="B1044" s="5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5"/>
      <c r="P1044" s="4"/>
    </row>
    <row r="1045" spans="1:16">
      <c r="A1045" s="4"/>
      <c r="B1045" s="5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5"/>
      <c r="P1045" s="4"/>
    </row>
    <row r="1046" spans="1:16">
      <c r="A1046" s="4"/>
      <c r="B1046" s="5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5"/>
      <c r="P1046" s="4"/>
    </row>
    <row r="1047" spans="1:16">
      <c r="A1047" s="4"/>
      <c r="B1047" s="5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5"/>
      <c r="P1047" s="4"/>
    </row>
    <row r="1048" spans="1:16">
      <c r="A1048" s="4"/>
      <c r="B1048" s="5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5"/>
      <c r="P1048" s="4"/>
    </row>
    <row r="1049" spans="1:16">
      <c r="A1049" s="4"/>
      <c r="B1049" s="5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5"/>
      <c r="P1049" s="4"/>
    </row>
    <row r="1050" spans="1:16">
      <c r="A1050" s="4"/>
      <c r="B1050" s="5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5"/>
      <c r="P1050" s="4"/>
    </row>
    <row r="1051" spans="1:16">
      <c r="A1051" s="4"/>
      <c r="B1051" s="5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5"/>
      <c r="P1051" s="4"/>
    </row>
    <row r="1052" spans="1:16">
      <c r="A1052" s="4"/>
      <c r="B1052" s="5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5"/>
      <c r="P1052" s="4"/>
    </row>
    <row r="1053" spans="1:16">
      <c r="A1053" s="4"/>
      <c r="B1053" s="5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5"/>
      <c r="P1053" s="4"/>
    </row>
    <row r="1054" spans="1:16">
      <c r="A1054" s="4"/>
      <c r="B1054" s="5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5"/>
      <c r="P1054" s="4"/>
    </row>
    <row r="1055" spans="1:16">
      <c r="A1055" s="4"/>
      <c r="B1055" s="5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5"/>
      <c r="P1055" s="4"/>
    </row>
    <row r="1056" spans="1:16">
      <c r="A1056" s="4"/>
      <c r="B1056" s="5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5"/>
      <c r="P1056" s="4"/>
    </row>
    <row r="1057" spans="1:16">
      <c r="A1057" s="4"/>
      <c r="B1057" s="5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5"/>
      <c r="P1057" s="4"/>
    </row>
    <row r="1058" spans="1:16">
      <c r="A1058" s="4"/>
      <c r="B1058" s="5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5"/>
      <c r="P1058" s="4"/>
    </row>
    <row r="1059" spans="1:16">
      <c r="A1059" s="4"/>
      <c r="B1059" s="5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5"/>
      <c r="P1059" s="4"/>
    </row>
    <row r="1060" spans="1:16">
      <c r="A1060" s="4"/>
      <c r="B1060" s="5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5"/>
      <c r="P1060" s="4"/>
    </row>
    <row r="1061" spans="1:16">
      <c r="A1061" s="4"/>
      <c r="B1061" s="5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5"/>
      <c r="P1061" s="4"/>
    </row>
    <row r="1062" spans="1:16">
      <c r="A1062" s="4"/>
      <c r="B1062" s="5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5"/>
      <c r="P1062" s="4"/>
    </row>
    <row r="1063" spans="1:16">
      <c r="A1063" s="4"/>
      <c r="B1063" s="5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5"/>
      <c r="P1063" s="4"/>
    </row>
    <row r="1064" spans="1:16">
      <c r="A1064" s="4"/>
      <c r="B1064" s="5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5"/>
      <c r="P1064" s="4"/>
    </row>
    <row r="1065" spans="1:16">
      <c r="A1065" s="4"/>
      <c r="B1065" s="5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5"/>
      <c r="P1065" s="4"/>
    </row>
    <row r="1066" spans="1:16">
      <c r="A1066" s="4"/>
      <c r="B1066" s="5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5"/>
      <c r="P1066" s="4"/>
    </row>
    <row r="1067" spans="1:16">
      <c r="A1067" s="4"/>
      <c r="B1067" s="5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5"/>
      <c r="P1067" s="4"/>
    </row>
    <row r="1068" spans="1:16">
      <c r="A1068" s="4"/>
      <c r="B1068" s="5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5"/>
      <c r="P1068" s="4"/>
    </row>
    <row r="1069" spans="1:16">
      <c r="A1069" s="4"/>
      <c r="B1069" s="5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5"/>
      <c r="P1069" s="4"/>
    </row>
    <row r="1070" spans="1:16">
      <c r="A1070" s="4"/>
      <c r="B1070" s="5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5"/>
      <c r="P1070" s="4"/>
    </row>
    <row r="1071" spans="1:16">
      <c r="A1071" s="4"/>
      <c r="B1071" s="5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5"/>
      <c r="P1071" s="4"/>
    </row>
    <row r="1072" spans="1:16">
      <c r="A1072" s="4"/>
      <c r="B1072" s="5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5"/>
      <c r="P1072" s="4"/>
    </row>
    <row r="1073" spans="1:16">
      <c r="A1073" s="4"/>
      <c r="B1073" s="5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5"/>
      <c r="P1073" s="4"/>
    </row>
    <row r="1074" spans="1:16">
      <c r="A1074" s="4"/>
      <c r="B1074" s="5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5"/>
      <c r="P1074" s="4"/>
    </row>
    <row r="1075" spans="1:16">
      <c r="A1075" s="4"/>
      <c r="B1075" s="5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5"/>
      <c r="P1075" s="4"/>
    </row>
    <row r="1076" spans="1:16">
      <c r="A1076" s="4"/>
      <c r="B1076" s="5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5"/>
      <c r="P1076" s="4"/>
    </row>
    <row r="1077" spans="1:16">
      <c r="A1077" s="4"/>
      <c r="B1077" s="5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5"/>
      <c r="P1077" s="4"/>
    </row>
    <row r="1078" spans="1:16">
      <c r="A1078" s="4"/>
      <c r="B1078" s="5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5"/>
      <c r="P1078" s="4"/>
    </row>
    <row r="1079" spans="1:16">
      <c r="A1079" s="4"/>
      <c r="B1079" s="5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5"/>
      <c r="P1079" s="4"/>
    </row>
    <row r="1080" spans="1:16">
      <c r="A1080" s="4"/>
      <c r="B1080" s="5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5"/>
      <c r="P1080" s="4"/>
    </row>
    <row r="1081" spans="1:16">
      <c r="A1081" s="4"/>
      <c r="B1081" s="5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5"/>
      <c r="P1081" s="4"/>
    </row>
    <row r="1082" spans="1:16">
      <c r="A1082" s="4"/>
      <c r="B1082" s="5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5"/>
      <c r="P1082" s="4"/>
    </row>
    <row r="1083" spans="1:16">
      <c r="A1083" s="4"/>
      <c r="B1083" s="5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5"/>
      <c r="P1083" s="4"/>
    </row>
    <row r="1084" spans="1:16">
      <c r="A1084" s="4"/>
      <c r="B1084" s="5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5"/>
      <c r="P1084" s="4"/>
    </row>
    <row r="1085" spans="1:16">
      <c r="A1085" s="4"/>
      <c r="B1085" s="5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5"/>
      <c r="P1085" s="4"/>
    </row>
    <row r="1086" spans="1:16">
      <c r="A1086" s="4"/>
      <c r="B1086" s="5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5"/>
      <c r="P1086" s="4"/>
    </row>
    <row r="1087" spans="1:16">
      <c r="A1087" s="4"/>
      <c r="B1087" s="5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5"/>
      <c r="P1087" s="4"/>
    </row>
    <row r="1088" spans="1:16">
      <c r="A1088" s="4"/>
      <c r="B1088" s="5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5"/>
      <c r="P1088" s="4"/>
    </row>
    <row r="1089" spans="1:16">
      <c r="A1089" s="4"/>
      <c r="B1089" s="5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5"/>
      <c r="P1089" s="4"/>
    </row>
    <row r="1090" spans="1:16">
      <c r="A1090" s="4"/>
      <c r="B1090" s="5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5"/>
      <c r="P1090" s="4"/>
    </row>
    <row r="1091" spans="1:16">
      <c r="A1091" s="4"/>
      <c r="B1091" s="5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5"/>
      <c r="P1091" s="4"/>
    </row>
    <row r="1092" spans="1:16">
      <c r="A1092" s="4"/>
      <c r="B1092" s="5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5"/>
      <c r="P1092" s="4"/>
    </row>
    <row r="1093" spans="1:16">
      <c r="A1093" s="4"/>
      <c r="B1093" s="5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5"/>
      <c r="P1093" s="4"/>
    </row>
    <row r="1094" spans="1:16">
      <c r="A1094" s="4"/>
      <c r="B1094" s="5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5"/>
      <c r="P1094" s="4"/>
    </row>
    <row r="1095" spans="1:16">
      <c r="A1095" s="4"/>
      <c r="B1095" s="5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5"/>
      <c r="P1095" s="4"/>
    </row>
    <row r="1096" spans="1:16">
      <c r="A1096" s="4"/>
      <c r="B1096" s="5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5"/>
      <c r="P1096" s="4"/>
    </row>
    <row r="1097" spans="1:16">
      <c r="A1097" s="4"/>
      <c r="B1097" s="5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5"/>
      <c r="P1097" s="4"/>
    </row>
    <row r="1098" spans="1:16">
      <c r="A1098" s="4"/>
      <c r="B1098" s="5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5"/>
      <c r="P1098" s="4"/>
    </row>
    <row r="1099" spans="1:16">
      <c r="A1099" s="4"/>
      <c r="B1099" s="5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5"/>
      <c r="P1099" s="4"/>
    </row>
    <row r="1100" spans="1:16">
      <c r="A1100" s="4"/>
      <c r="B1100" s="5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5"/>
      <c r="P1100" s="4"/>
    </row>
    <row r="1101" spans="1:16">
      <c r="A1101" s="4"/>
      <c r="B1101" s="5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5"/>
      <c r="P1101" s="4"/>
    </row>
    <row r="1102" spans="1:16">
      <c r="A1102" s="4"/>
      <c r="B1102" s="5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5"/>
      <c r="P1102" s="4"/>
    </row>
    <row r="1103" spans="1:16">
      <c r="A1103" s="4"/>
      <c r="B1103" s="5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5"/>
      <c r="P1103" s="4"/>
    </row>
    <row r="1104" spans="1:16">
      <c r="A1104" s="4"/>
      <c r="B1104" s="5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5"/>
      <c r="P1104" s="4"/>
    </row>
    <row r="1105" spans="1:16">
      <c r="A1105" s="4"/>
      <c r="B1105" s="5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5"/>
      <c r="P1105" s="4"/>
    </row>
    <row r="1106" spans="1:16">
      <c r="A1106" s="4"/>
      <c r="B1106" s="5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5"/>
      <c r="P1106" s="4"/>
    </row>
    <row r="1107" spans="1:16">
      <c r="A1107" s="4"/>
      <c r="B1107" s="5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5"/>
      <c r="P1107" s="4"/>
    </row>
    <row r="1108" spans="1:16">
      <c r="A1108" s="4"/>
      <c r="B1108" s="5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5"/>
      <c r="P1108" s="4"/>
    </row>
    <row r="1109" spans="1:16">
      <c r="A1109" s="4"/>
      <c r="B1109" s="5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5"/>
      <c r="P1109" s="4"/>
    </row>
    <row r="1110" spans="1:16">
      <c r="A1110" s="4"/>
      <c r="B1110" s="5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5"/>
      <c r="P1110" s="4"/>
    </row>
    <row r="1111" spans="1:16">
      <c r="A1111" s="4"/>
      <c r="B1111" s="5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5"/>
      <c r="P1111" s="4"/>
    </row>
    <row r="1112" spans="1:16">
      <c r="A1112" s="4"/>
      <c r="B1112" s="5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5"/>
      <c r="P1112" s="4"/>
    </row>
    <row r="1113" spans="1:16">
      <c r="A1113" s="4"/>
      <c r="B1113" s="5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5"/>
      <c r="P1113" s="4"/>
    </row>
    <row r="1114" spans="1:16">
      <c r="A1114" s="4"/>
      <c r="B1114" s="5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5"/>
      <c r="P1114" s="4"/>
    </row>
    <row r="1115" spans="1:16">
      <c r="A1115" s="4"/>
      <c r="B1115" s="5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5"/>
      <c r="P1115" s="4"/>
    </row>
    <row r="1116" spans="1:16">
      <c r="A1116" s="4"/>
      <c r="B1116" s="5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5"/>
      <c r="P1116" s="4"/>
    </row>
    <row r="1117" spans="1:16">
      <c r="A1117" s="4"/>
      <c r="B1117" s="5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5"/>
      <c r="P1117" s="4"/>
    </row>
    <row r="1118" spans="1:16">
      <c r="A1118" s="4"/>
      <c r="B1118" s="5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5"/>
      <c r="P1118" s="4"/>
    </row>
    <row r="1119" spans="1:16">
      <c r="A1119" s="4"/>
      <c r="B1119" s="5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5"/>
      <c r="P1119" s="4"/>
    </row>
    <row r="1120" spans="1:16">
      <c r="A1120" s="4"/>
      <c r="B1120" s="5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5"/>
      <c r="P1120" s="4"/>
    </row>
    <row r="1121" spans="1:16">
      <c r="A1121" s="4"/>
      <c r="B1121" s="5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5"/>
      <c r="P1121" s="4"/>
    </row>
    <row r="1122" spans="1:16">
      <c r="A1122" s="4"/>
      <c r="B1122" s="5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5"/>
      <c r="P1122" s="4"/>
    </row>
    <row r="1123" spans="1:16">
      <c r="A1123" s="4"/>
      <c r="B1123" s="5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5"/>
      <c r="P1123" s="4"/>
    </row>
    <row r="1124" spans="1:16">
      <c r="A1124" s="4"/>
      <c r="B1124" s="5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5"/>
      <c r="P1124" s="4"/>
    </row>
    <row r="1125" spans="1:16">
      <c r="A1125" s="4"/>
      <c r="B1125" s="5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5"/>
      <c r="P1125" s="4"/>
    </row>
    <row r="1126" spans="1:16">
      <c r="A1126" s="4"/>
      <c r="B1126" s="5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5"/>
      <c r="P1126" s="4"/>
    </row>
    <row r="1127" spans="1:16">
      <c r="A1127" s="4"/>
      <c r="B1127" s="5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5"/>
      <c r="P1127" s="4"/>
    </row>
    <row r="1128" spans="1:16">
      <c r="A1128" s="4"/>
      <c r="B1128" s="5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5"/>
      <c r="P1128" s="4"/>
    </row>
    <row r="1129" spans="1:16">
      <c r="A1129" s="4"/>
      <c r="B1129" s="5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5"/>
      <c r="P1129" s="4"/>
    </row>
    <row r="1130" spans="1:16">
      <c r="A1130" s="4"/>
      <c r="B1130" s="5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5"/>
      <c r="P1130" s="4"/>
    </row>
    <row r="1131" spans="1:16">
      <c r="A1131" s="4"/>
      <c r="B1131" s="5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5"/>
      <c r="P1131" s="4"/>
    </row>
    <row r="1132" spans="1:16">
      <c r="A1132" s="4"/>
      <c r="B1132" s="5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5"/>
      <c r="P1132" s="4"/>
    </row>
    <row r="1133" spans="1:16">
      <c r="A1133" s="4"/>
      <c r="B1133" s="5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5"/>
      <c r="P1133" s="4"/>
    </row>
    <row r="1134" spans="1:16">
      <c r="A1134" s="4"/>
      <c r="B1134" s="5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5"/>
      <c r="P1134" s="4"/>
    </row>
    <row r="1135" spans="1:16">
      <c r="A1135" s="4"/>
      <c r="B1135" s="5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5"/>
      <c r="P1135" s="4"/>
    </row>
    <row r="1136" spans="1:16">
      <c r="A1136" s="4"/>
      <c r="B1136" s="5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5"/>
      <c r="P1136" s="4"/>
    </row>
    <row r="1137" spans="1:16">
      <c r="A1137" s="4"/>
      <c r="B1137" s="5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5"/>
      <c r="P1137" s="4"/>
    </row>
    <row r="1138" spans="1:16">
      <c r="A1138" s="4"/>
      <c r="B1138" s="5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5"/>
      <c r="P1138" s="4"/>
    </row>
    <row r="1139" spans="1:16">
      <c r="A1139" s="4"/>
      <c r="B1139" s="5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5"/>
      <c r="P1139" s="4"/>
    </row>
    <row r="1140" spans="1:16">
      <c r="A1140" s="4"/>
      <c r="B1140" s="5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5"/>
      <c r="P1140" s="4"/>
    </row>
    <row r="1141" spans="1:16">
      <c r="A1141" s="4"/>
      <c r="B1141" s="5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5"/>
      <c r="P1141" s="4"/>
    </row>
    <row r="1142" spans="1:16">
      <c r="A1142" s="4"/>
      <c r="B1142" s="5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5"/>
      <c r="P1142" s="4"/>
    </row>
    <row r="1143" spans="1:16">
      <c r="A1143" s="4"/>
      <c r="B1143" s="5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5"/>
      <c r="P1143" s="4"/>
    </row>
    <row r="1144" spans="1:16">
      <c r="A1144" s="4"/>
      <c r="B1144" s="5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5"/>
      <c r="P1144" s="4"/>
    </row>
    <row r="1145" spans="1:16">
      <c r="A1145" s="4"/>
      <c r="B1145" s="5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5"/>
      <c r="P1145" s="4"/>
    </row>
    <row r="1146" spans="1:16">
      <c r="A1146" s="4"/>
      <c r="B1146" s="5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5"/>
      <c r="P1146" s="4"/>
    </row>
    <row r="1147" spans="1:16">
      <c r="A1147" s="4"/>
      <c r="B1147" s="5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5"/>
      <c r="P1147" s="4"/>
    </row>
    <row r="1148" spans="1:16">
      <c r="A1148" s="4"/>
      <c r="B1148" s="5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5"/>
      <c r="P1148" s="4"/>
    </row>
    <row r="1149" spans="1:16">
      <c r="A1149" s="4"/>
      <c r="B1149" s="5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5"/>
      <c r="P1149" s="4"/>
    </row>
    <row r="1150" spans="1:16">
      <c r="A1150" s="4"/>
      <c r="B1150" s="5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5"/>
      <c r="P1150" s="4"/>
    </row>
    <row r="1151" spans="1:16">
      <c r="A1151" s="4"/>
      <c r="B1151" s="5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5"/>
      <c r="P1151" s="4"/>
    </row>
    <row r="1152" spans="1:16">
      <c r="A1152" s="4"/>
      <c r="B1152" s="5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5"/>
      <c r="P1152" s="4"/>
    </row>
    <row r="1153" spans="1:16">
      <c r="A1153" s="4"/>
      <c r="B1153" s="5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5"/>
      <c r="P1153" s="4"/>
    </row>
    <row r="1154" spans="1:16">
      <c r="A1154" s="4"/>
      <c r="B1154" s="5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5"/>
      <c r="P1154" s="4"/>
    </row>
    <row r="1155" spans="1:16">
      <c r="A1155" s="4"/>
      <c r="B1155" s="5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5"/>
      <c r="P1155" s="4"/>
    </row>
    <row r="1156" spans="1:16">
      <c r="A1156" s="4"/>
      <c r="B1156" s="5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5"/>
      <c r="P1156" s="4"/>
    </row>
    <row r="1157" spans="1:16">
      <c r="A1157" s="4"/>
      <c r="B1157" s="5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5"/>
      <c r="P1157" s="4"/>
    </row>
    <row r="1158" spans="1:16">
      <c r="A1158" s="4"/>
      <c r="B1158" s="5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5"/>
      <c r="P1158" s="4"/>
    </row>
    <row r="1159" spans="1:16">
      <c r="A1159" s="4"/>
      <c r="B1159" s="5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5"/>
      <c r="P1159" s="4"/>
    </row>
    <row r="1160" spans="1:16">
      <c r="A1160" s="4"/>
      <c r="B1160" s="5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5"/>
      <c r="P1160" s="4"/>
    </row>
    <row r="1161" spans="1:16">
      <c r="A1161" s="4"/>
      <c r="B1161" s="5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5"/>
      <c r="P1161" s="4"/>
    </row>
    <row r="1162" spans="1:16">
      <c r="A1162" s="4"/>
      <c r="B1162" s="5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5"/>
      <c r="P1162" s="4"/>
    </row>
    <row r="1163" spans="1:16">
      <c r="A1163" s="4"/>
      <c r="B1163" s="5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5"/>
      <c r="P1163" s="4"/>
    </row>
    <row r="1164" spans="1:16">
      <c r="A1164" s="4"/>
      <c r="B1164" s="5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5"/>
      <c r="P1164" s="4"/>
    </row>
    <row r="1165" spans="1:16">
      <c r="A1165" s="4"/>
      <c r="B1165" s="5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5"/>
      <c r="P1165" s="4"/>
    </row>
    <row r="1166" spans="1:16">
      <c r="A1166" s="4"/>
      <c r="B1166" s="5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5"/>
      <c r="P1166" s="4"/>
    </row>
    <row r="1167" spans="1:16">
      <c r="A1167" s="4"/>
      <c r="B1167" s="5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5"/>
      <c r="P1167" s="4"/>
    </row>
    <row r="1168" spans="1:16">
      <c r="A1168" s="4"/>
      <c r="B1168" s="5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5"/>
      <c r="P1168" s="4"/>
    </row>
    <row r="1169" spans="1:16">
      <c r="A1169" s="4"/>
      <c r="B1169" s="5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5"/>
      <c r="P1169" s="4"/>
    </row>
    <row r="1170" spans="1:16">
      <c r="A1170" s="4"/>
      <c r="B1170" s="5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5"/>
      <c r="P1170" s="4"/>
    </row>
    <row r="1171" spans="1:16">
      <c r="A1171" s="4"/>
      <c r="B1171" s="5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5"/>
      <c r="P1171" s="4"/>
    </row>
    <row r="1172" spans="1:16">
      <c r="A1172" s="4"/>
      <c r="B1172" s="5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5"/>
      <c r="P1172" s="4"/>
    </row>
    <row r="1173" spans="1:16">
      <c r="A1173" s="4"/>
      <c r="B1173" s="5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5"/>
      <c r="P1173" s="4"/>
    </row>
    <row r="1174" spans="1:16">
      <c r="A1174" s="4"/>
      <c r="B1174" s="5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5"/>
      <c r="P1174" s="4"/>
    </row>
    <row r="1175" spans="1:16">
      <c r="A1175" s="4"/>
      <c r="B1175" s="5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5"/>
      <c r="P1175" s="4"/>
    </row>
    <row r="1176" spans="1:16">
      <c r="A1176" s="4"/>
      <c r="B1176" s="5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5"/>
      <c r="P1176" s="4"/>
    </row>
    <row r="1177" spans="1:16">
      <c r="A1177" s="4"/>
      <c r="B1177" s="5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5"/>
      <c r="P1177" s="4"/>
    </row>
    <row r="1178" spans="1:16">
      <c r="A1178" s="4"/>
      <c r="B1178" s="5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5"/>
      <c r="P1178" s="4"/>
    </row>
    <row r="1179" spans="1:16">
      <c r="A1179" s="4"/>
      <c r="B1179" s="5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5"/>
      <c r="P1179" s="4"/>
    </row>
    <row r="1180" spans="1:16">
      <c r="A1180" s="4"/>
      <c r="B1180" s="5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5"/>
      <c r="P1180" s="4"/>
    </row>
    <row r="1181" spans="1:16">
      <c r="A1181" s="4"/>
      <c r="B1181" s="5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5"/>
      <c r="P1181" s="4"/>
    </row>
    <row r="1182" spans="1:16">
      <c r="A1182" s="4"/>
      <c r="B1182" s="5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5"/>
      <c r="P1182" s="4"/>
    </row>
    <row r="1183" spans="1:16">
      <c r="A1183" s="4"/>
      <c r="B1183" s="5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5"/>
      <c r="P1183" s="4"/>
    </row>
    <row r="1184" spans="1:16">
      <c r="A1184" s="4"/>
      <c r="B1184" s="5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5"/>
      <c r="P1184" s="4"/>
    </row>
    <row r="1185" spans="1:16">
      <c r="A1185" s="4"/>
      <c r="B1185" s="5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5"/>
      <c r="P1185" s="4"/>
    </row>
    <row r="1186" spans="1:16">
      <c r="A1186" s="4"/>
      <c r="B1186" s="5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5"/>
      <c r="P1186" s="4"/>
    </row>
    <row r="1187" spans="1:16">
      <c r="A1187" s="4"/>
      <c r="B1187" s="5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5"/>
      <c r="P1187" s="4"/>
    </row>
    <row r="1188" spans="1:16">
      <c r="A1188" s="4"/>
      <c r="B1188" s="5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5"/>
      <c r="P1188" s="4"/>
    </row>
    <row r="1189" spans="1:16">
      <c r="A1189" s="4"/>
      <c r="B1189" s="5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5"/>
      <c r="P1189" s="4"/>
    </row>
    <row r="1190" spans="1:16">
      <c r="A1190" s="4"/>
      <c r="B1190" s="5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5"/>
      <c r="P1190" s="4"/>
    </row>
    <row r="1191" spans="1:16">
      <c r="A1191" s="4"/>
      <c r="B1191" s="5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5"/>
      <c r="P1191" s="4"/>
    </row>
    <row r="1192" spans="1:16">
      <c r="A1192" s="4"/>
      <c r="B1192" s="5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5"/>
      <c r="P1192" s="4"/>
    </row>
    <row r="1193" spans="1:16">
      <c r="A1193" s="4"/>
      <c r="B1193" s="5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5"/>
      <c r="P1193" s="4"/>
    </row>
    <row r="1194" spans="1:16">
      <c r="A1194" s="4"/>
      <c r="B1194" s="5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5"/>
      <c r="P1194" s="4"/>
    </row>
    <row r="1195" spans="1:16">
      <c r="A1195" s="4"/>
      <c r="B1195" s="5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5"/>
      <c r="P1195" s="4"/>
    </row>
    <row r="1196" spans="1:16">
      <c r="A1196" s="4"/>
      <c r="B1196" s="5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5"/>
      <c r="P1196" s="4"/>
    </row>
    <row r="1197" spans="1:16">
      <c r="A1197" s="4"/>
      <c r="B1197" s="5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5"/>
      <c r="P1197" s="4"/>
    </row>
    <row r="1198" spans="1:16">
      <c r="A1198" s="4"/>
      <c r="B1198" s="5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5"/>
      <c r="P1198" s="4"/>
    </row>
    <row r="1199" spans="1:16">
      <c r="A1199" s="4"/>
      <c r="B1199" s="5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5"/>
      <c r="P1199" s="4"/>
    </row>
    <row r="1200" spans="1:16">
      <c r="A1200" s="4"/>
      <c r="B1200" s="5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5"/>
      <c r="P1200" s="4"/>
    </row>
    <row r="1201" spans="1:16">
      <c r="A1201" s="4"/>
      <c r="B1201" s="5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5"/>
      <c r="P1201" s="4"/>
    </row>
    <row r="1202" spans="1:16">
      <c r="A1202" s="4"/>
      <c r="B1202" s="5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5"/>
      <c r="P1202" s="4"/>
    </row>
    <row r="1203" spans="1:16">
      <c r="A1203" s="4"/>
      <c r="B1203" s="5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5"/>
      <c r="P1203" s="4"/>
    </row>
    <row r="1204" spans="1:16">
      <c r="A1204" s="4"/>
      <c r="B1204" s="5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5"/>
      <c r="P1204" s="4"/>
    </row>
    <row r="1205" spans="1:16">
      <c r="A1205" s="4"/>
      <c r="B1205" s="5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5"/>
      <c r="P1205" s="4"/>
    </row>
    <row r="1206" spans="1:16">
      <c r="A1206" s="4"/>
      <c r="B1206" s="5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5"/>
      <c r="P1206" s="4"/>
    </row>
    <row r="1207" spans="1:16">
      <c r="A1207" s="4"/>
      <c r="B1207" s="5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5"/>
      <c r="P1207" s="4"/>
    </row>
    <row r="1208" spans="1:16">
      <c r="A1208" s="4"/>
      <c r="B1208" s="5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5"/>
      <c r="P1208" s="4"/>
    </row>
    <row r="1209" spans="1:16">
      <c r="A1209" s="4"/>
      <c r="B1209" s="5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5"/>
      <c r="P1209" s="4"/>
    </row>
    <row r="1210" spans="1:16">
      <c r="A1210" s="4"/>
      <c r="B1210" s="5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5"/>
      <c r="P1210" s="4"/>
    </row>
    <row r="1211" spans="1:16">
      <c r="A1211" s="4"/>
      <c r="B1211" s="5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5"/>
      <c r="P1211" s="4"/>
    </row>
    <row r="1212" spans="1:16">
      <c r="A1212" s="4"/>
      <c r="B1212" s="5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5"/>
      <c r="P1212" s="4"/>
    </row>
    <row r="1213" spans="1:16">
      <c r="A1213" s="4"/>
      <c r="B1213" s="5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5"/>
      <c r="P1213" s="4"/>
    </row>
    <row r="1214" spans="1:16">
      <c r="A1214" s="4"/>
      <c r="B1214" s="5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5"/>
      <c r="P1214" s="4"/>
    </row>
    <row r="1215" spans="1:16">
      <c r="A1215" s="4"/>
      <c r="B1215" s="5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5"/>
      <c r="P1215" s="4"/>
    </row>
    <row r="1216" spans="1:16">
      <c r="A1216" s="4"/>
      <c r="B1216" s="5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5"/>
      <c r="P1216" s="4"/>
    </row>
    <row r="1217" spans="1:16">
      <c r="A1217" s="4"/>
      <c r="B1217" s="5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5"/>
      <c r="P1217" s="4"/>
    </row>
    <row r="1218" spans="1:16">
      <c r="A1218" s="4"/>
      <c r="B1218" s="5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5"/>
      <c r="P1218" s="4"/>
    </row>
    <row r="1219" spans="1:16">
      <c r="A1219" s="4"/>
      <c r="B1219" s="5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5"/>
      <c r="P1219" s="4"/>
    </row>
    <row r="1220" spans="1:16">
      <c r="A1220" s="4"/>
      <c r="B1220" s="5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5"/>
      <c r="P1220" s="4"/>
    </row>
    <row r="1221" spans="1:16">
      <c r="A1221" s="4"/>
      <c r="B1221" s="5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5"/>
      <c r="P1221" s="4"/>
    </row>
    <row r="1222" spans="1:16">
      <c r="A1222" s="4"/>
      <c r="B1222" s="5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5"/>
      <c r="P1222" s="4"/>
    </row>
    <row r="1223" spans="1:16">
      <c r="A1223" s="4"/>
      <c r="B1223" s="5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5"/>
      <c r="P1223" s="4"/>
    </row>
    <row r="1224" spans="1:16">
      <c r="A1224" s="4"/>
      <c r="B1224" s="5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5"/>
      <c r="P1224" s="4"/>
    </row>
    <row r="1225" spans="1:16">
      <c r="A1225" s="4"/>
      <c r="B1225" s="5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5"/>
      <c r="P1225" s="4"/>
    </row>
    <row r="1226" spans="1:16">
      <c r="A1226" s="4"/>
      <c r="B1226" s="5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5"/>
      <c r="P1226" s="4"/>
    </row>
    <row r="1227" spans="1:16">
      <c r="A1227" s="4"/>
      <c r="B1227" s="5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5"/>
      <c r="P1227" s="4"/>
    </row>
    <row r="1228" spans="1:16">
      <c r="A1228" s="4"/>
      <c r="B1228" s="5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5"/>
      <c r="P1228" s="4"/>
    </row>
    <row r="1229" spans="1:16">
      <c r="A1229" s="4"/>
      <c r="B1229" s="5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5"/>
      <c r="P1229" s="4"/>
    </row>
    <row r="1230" spans="1:16">
      <c r="A1230" s="4"/>
      <c r="B1230" s="5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5"/>
      <c r="P1230" s="4"/>
    </row>
    <row r="1231" spans="1:16">
      <c r="A1231" s="4"/>
      <c r="B1231" s="5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5"/>
      <c r="P1231" s="4"/>
    </row>
    <row r="1232" spans="1:16">
      <c r="A1232" s="4"/>
      <c r="B1232" s="5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5"/>
      <c r="P1232" s="4"/>
    </row>
    <row r="1233" spans="1:16">
      <c r="A1233" s="4"/>
      <c r="B1233" s="5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5"/>
      <c r="P1233" s="4"/>
    </row>
    <row r="1234" spans="1:16">
      <c r="A1234" s="4"/>
      <c r="B1234" s="5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5"/>
      <c r="P1234" s="4"/>
    </row>
    <row r="1235" spans="1:16">
      <c r="A1235" s="4"/>
      <c r="B1235" s="5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5"/>
      <c r="P1235" s="4"/>
    </row>
    <row r="1236" spans="1:16">
      <c r="A1236" s="4"/>
      <c r="B1236" s="5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5"/>
      <c r="P1236" s="4"/>
    </row>
    <row r="1237" spans="1:16">
      <c r="A1237" s="4"/>
      <c r="B1237" s="5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5"/>
      <c r="P1237" s="4"/>
    </row>
    <row r="1238" spans="1:16">
      <c r="A1238" s="4"/>
      <c r="B1238" s="5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5"/>
      <c r="P1238" s="4"/>
    </row>
    <row r="1239" spans="1:16">
      <c r="A1239" s="4"/>
      <c r="B1239" s="5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5"/>
      <c r="P1239" s="4"/>
    </row>
    <row r="1240" spans="1:16">
      <c r="A1240" s="4"/>
      <c r="B1240" s="5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5"/>
      <c r="P1240" s="4"/>
    </row>
    <row r="1241" spans="1:16">
      <c r="A1241" s="4"/>
      <c r="B1241" s="5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5"/>
      <c r="P1241" s="4"/>
    </row>
    <row r="1242" spans="1:16">
      <c r="A1242" s="4"/>
      <c r="B1242" s="5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5"/>
      <c r="P1242" s="4"/>
    </row>
    <row r="1243" spans="1:16">
      <c r="A1243" s="4"/>
      <c r="B1243" s="5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5"/>
      <c r="P1243" s="4"/>
    </row>
    <row r="1244" spans="1:16">
      <c r="A1244" s="4"/>
      <c r="B1244" s="5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5"/>
      <c r="P1244" s="4"/>
    </row>
    <row r="1245" spans="1:16">
      <c r="A1245" s="4"/>
      <c r="B1245" s="5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5"/>
      <c r="P1245" s="4"/>
    </row>
    <row r="1246" spans="1:16">
      <c r="A1246" s="4"/>
      <c r="B1246" s="5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5"/>
      <c r="P1246" s="4"/>
    </row>
    <row r="1247" spans="1:16">
      <c r="A1247" s="4"/>
      <c r="B1247" s="5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5"/>
      <c r="P1247" s="4"/>
    </row>
    <row r="1248" spans="1:16">
      <c r="A1248" s="4"/>
      <c r="B1248" s="5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5"/>
      <c r="P1248" s="4"/>
    </row>
    <row r="1249" spans="1:16">
      <c r="A1249" s="4"/>
      <c r="B1249" s="5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5"/>
      <c r="P1249" s="4"/>
    </row>
    <row r="1250" spans="1:16">
      <c r="A1250" s="4"/>
      <c r="B1250" s="5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5"/>
      <c r="P1250" s="4"/>
    </row>
    <row r="1251" spans="1:16">
      <c r="A1251" s="4"/>
      <c r="B1251" s="5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5"/>
      <c r="P1251" s="4"/>
    </row>
    <row r="1252" spans="1:16">
      <c r="A1252" s="4"/>
      <c r="B1252" s="5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5"/>
      <c r="P1252" s="4"/>
    </row>
    <row r="1253" spans="1:16">
      <c r="A1253" s="4"/>
      <c r="B1253" s="5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5"/>
      <c r="P1253" s="4"/>
    </row>
    <row r="1254" spans="1:16">
      <c r="A1254" s="4"/>
      <c r="B1254" s="5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5"/>
      <c r="P1254" s="4"/>
    </row>
    <row r="1255" spans="1:16">
      <c r="A1255" s="4"/>
      <c r="B1255" s="5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5"/>
      <c r="P1255" s="4"/>
    </row>
    <row r="1256" spans="1:16">
      <c r="A1256" s="4"/>
      <c r="B1256" s="5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5"/>
      <c r="P1256" s="4"/>
    </row>
    <row r="1257" spans="1:16">
      <c r="A1257" s="4"/>
      <c r="B1257" s="5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5"/>
      <c r="P1257" s="4"/>
    </row>
    <row r="1258" spans="1:16">
      <c r="A1258" s="4"/>
      <c r="B1258" s="5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5"/>
      <c r="P1258" s="4"/>
    </row>
    <row r="1259" spans="1:16">
      <c r="A1259" s="4"/>
      <c r="B1259" s="5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5"/>
      <c r="P1259" s="4"/>
    </row>
    <row r="1260" spans="1:16">
      <c r="A1260" s="4"/>
      <c r="B1260" s="5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5"/>
      <c r="P1260" s="4"/>
    </row>
    <row r="1261" spans="1:16">
      <c r="A1261" s="4"/>
      <c r="B1261" s="5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5"/>
      <c r="P1261" s="4"/>
    </row>
    <row r="1262" spans="1:16">
      <c r="A1262" s="4"/>
      <c r="B1262" s="5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5"/>
      <c r="P1262" s="4"/>
    </row>
    <row r="1263" spans="1:16">
      <c r="A1263" s="4"/>
      <c r="B1263" s="5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5"/>
      <c r="P1263" s="4"/>
    </row>
    <row r="1264" spans="1:16">
      <c r="A1264" s="4"/>
      <c r="B1264" s="5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5"/>
      <c r="P1264" s="4"/>
    </row>
    <row r="1265" spans="1:16">
      <c r="A1265" s="4"/>
      <c r="B1265" s="5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5"/>
      <c r="P1265" s="4"/>
    </row>
    <row r="1266" spans="1:16">
      <c r="A1266" s="4"/>
      <c r="B1266" s="5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5"/>
      <c r="P1266" s="4"/>
    </row>
    <row r="1267" spans="1:16">
      <c r="A1267" s="4"/>
      <c r="B1267" s="5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5"/>
      <c r="P1267" s="4"/>
    </row>
    <row r="1268" spans="1:16">
      <c r="A1268" s="4"/>
      <c r="B1268" s="5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5"/>
      <c r="P1268" s="4"/>
    </row>
    <row r="1269" spans="1:16">
      <c r="A1269" s="4"/>
      <c r="B1269" s="5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5"/>
      <c r="P1269" s="4"/>
    </row>
    <row r="1270" spans="1:16">
      <c r="A1270" s="4"/>
      <c r="B1270" s="5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5"/>
      <c r="P1270" s="4"/>
    </row>
    <row r="1271" spans="1:16">
      <c r="A1271" s="4"/>
      <c r="B1271" s="5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5"/>
      <c r="P1271" s="4"/>
    </row>
    <row r="1272" spans="1:16">
      <c r="A1272" s="4"/>
      <c r="B1272" s="5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5"/>
      <c r="P1272" s="4"/>
    </row>
    <row r="1273" spans="1:16">
      <c r="A1273" s="4"/>
      <c r="B1273" s="5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5"/>
      <c r="P1273" s="4"/>
    </row>
    <row r="1274" spans="1:16">
      <c r="A1274" s="4"/>
      <c r="B1274" s="5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5"/>
      <c r="P1274" s="4"/>
    </row>
    <row r="1275" spans="1:16">
      <c r="A1275" s="4"/>
      <c r="B1275" s="5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5"/>
      <c r="P1275" s="4"/>
    </row>
    <row r="1276" spans="1:16">
      <c r="A1276" s="4"/>
      <c r="B1276" s="5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5"/>
      <c r="P1276" s="4"/>
    </row>
    <row r="1277" spans="1:16">
      <c r="A1277" s="4"/>
      <c r="B1277" s="5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5"/>
      <c r="P1277" s="4"/>
    </row>
    <row r="1278" spans="1:16">
      <c r="A1278" s="4"/>
      <c r="B1278" s="5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5"/>
      <c r="P1278" s="4"/>
    </row>
    <row r="1279" spans="1:16">
      <c r="A1279" s="4"/>
      <c r="B1279" s="5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5"/>
      <c r="P1279" s="4"/>
    </row>
    <row r="1280" spans="1:16">
      <c r="A1280" s="4"/>
      <c r="B1280" s="5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5"/>
      <c r="P1280" s="4"/>
    </row>
    <row r="1281" spans="1:16">
      <c r="A1281" s="4"/>
      <c r="B1281" s="5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5"/>
      <c r="P1281" s="4"/>
    </row>
    <row r="1282" spans="1:16">
      <c r="A1282" s="4"/>
      <c r="B1282" s="5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5"/>
      <c r="P1282" s="4"/>
    </row>
    <row r="1283" spans="1:16">
      <c r="A1283" s="4"/>
      <c r="B1283" s="5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5"/>
      <c r="P1283" s="4"/>
    </row>
    <row r="1284" spans="1:16">
      <c r="A1284" s="4"/>
      <c r="B1284" s="5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5"/>
      <c r="P1284" s="4"/>
    </row>
    <row r="1285" spans="1:16">
      <c r="A1285" s="4"/>
      <c r="B1285" s="5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5"/>
      <c r="P1285" s="4"/>
    </row>
    <row r="1286" spans="1:16">
      <c r="A1286" s="4"/>
      <c r="B1286" s="5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5"/>
      <c r="P1286" s="4"/>
    </row>
    <row r="1287" spans="1:16">
      <c r="A1287" s="4"/>
      <c r="B1287" s="5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5"/>
      <c r="P1287" s="4"/>
    </row>
    <row r="1288" spans="1:16">
      <c r="A1288" s="4"/>
      <c r="B1288" s="5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5"/>
      <c r="P1288" s="4"/>
    </row>
    <row r="1289" spans="1:16">
      <c r="A1289" s="4"/>
      <c r="B1289" s="5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5"/>
      <c r="P1289" s="4"/>
    </row>
    <row r="1290" spans="1:16">
      <c r="A1290" s="4"/>
      <c r="B1290" s="5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5"/>
      <c r="P1290" s="4"/>
    </row>
    <row r="1291" spans="1:16">
      <c r="A1291" s="4"/>
      <c r="B1291" s="5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5"/>
      <c r="P1291" s="4"/>
    </row>
    <row r="1292" spans="1:16">
      <c r="A1292" s="4"/>
      <c r="B1292" s="5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5"/>
      <c r="P1292" s="4"/>
    </row>
    <row r="1293" spans="1:16">
      <c r="A1293" s="4"/>
      <c r="B1293" s="5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5"/>
      <c r="P1293" s="4"/>
    </row>
    <row r="1294" spans="1:16">
      <c r="A1294" s="4"/>
      <c r="B1294" s="5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5"/>
      <c r="P1294" s="4"/>
    </row>
    <row r="1295" spans="1:16">
      <c r="A1295" s="4"/>
      <c r="B1295" s="5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5"/>
      <c r="P1295" s="4"/>
    </row>
    <row r="1296" spans="1:16">
      <c r="A1296" s="4"/>
      <c r="B1296" s="5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5"/>
      <c r="P1296" s="4"/>
    </row>
    <row r="1297" spans="1:16">
      <c r="A1297" s="4"/>
      <c r="B1297" s="5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5"/>
      <c r="P1297" s="4"/>
    </row>
    <row r="1298" spans="1:16">
      <c r="A1298" s="4"/>
      <c r="B1298" s="5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5"/>
      <c r="P1298" s="4"/>
    </row>
    <row r="1299" spans="1:16">
      <c r="A1299" s="4"/>
      <c r="B1299" s="5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5"/>
      <c r="P1299" s="4"/>
    </row>
    <row r="1300" spans="1:16">
      <c r="A1300" s="4"/>
      <c r="B1300" s="5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5"/>
      <c r="P1300" s="4"/>
    </row>
    <row r="1301" spans="1:16">
      <c r="A1301" s="4"/>
      <c r="B1301" s="5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5"/>
      <c r="P1301" s="4"/>
    </row>
    <row r="1302" spans="1:16">
      <c r="A1302" s="4"/>
      <c r="B1302" s="5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5"/>
      <c r="P1302" s="4"/>
    </row>
    <row r="1303" spans="1:16">
      <c r="A1303" s="4"/>
      <c r="B1303" s="5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5"/>
      <c r="P1303" s="4"/>
    </row>
    <row r="1304" spans="1:16">
      <c r="A1304" s="4"/>
      <c r="B1304" s="5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5"/>
      <c r="P1304" s="4"/>
    </row>
    <row r="1305" spans="1:16">
      <c r="A1305" s="4"/>
      <c r="B1305" s="5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5"/>
      <c r="P1305" s="4"/>
    </row>
    <row r="1306" spans="1:16">
      <c r="A1306" s="4"/>
      <c r="B1306" s="5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5"/>
      <c r="P1306" s="4"/>
    </row>
    <row r="1307" spans="1:16">
      <c r="A1307" s="4"/>
      <c r="B1307" s="5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5"/>
      <c r="P1307" s="4"/>
    </row>
    <row r="1308" spans="1:16">
      <c r="A1308" s="4"/>
      <c r="B1308" s="5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5"/>
      <c r="P1308" s="4"/>
    </row>
    <row r="1309" spans="1:16">
      <c r="A1309" s="4"/>
      <c r="B1309" s="5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5"/>
      <c r="P1309" s="4"/>
    </row>
    <row r="1310" spans="1:16">
      <c r="A1310" s="4"/>
      <c r="B1310" s="5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5"/>
      <c r="P1310" s="4"/>
    </row>
    <row r="1311" spans="1:16">
      <c r="A1311" s="4"/>
      <c r="B1311" s="5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5"/>
      <c r="P1311" s="4"/>
    </row>
    <row r="1312" spans="1:16">
      <c r="A1312" s="4"/>
      <c r="B1312" s="5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5"/>
      <c r="P1312" s="4"/>
    </row>
    <row r="1313" spans="1:16">
      <c r="A1313" s="4"/>
      <c r="B1313" s="5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5"/>
      <c r="P1313" s="4"/>
    </row>
    <row r="1314" spans="1:16">
      <c r="A1314" s="4"/>
      <c r="B1314" s="5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5"/>
      <c r="P1314" s="4"/>
    </row>
    <row r="1315" spans="1:16">
      <c r="A1315" s="4"/>
      <c r="B1315" s="5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5"/>
      <c r="P1315" s="4"/>
    </row>
    <row r="1316" spans="1:16">
      <c r="A1316" s="4"/>
      <c r="B1316" s="5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5"/>
      <c r="P1316" s="4"/>
    </row>
    <row r="1317" spans="1:16">
      <c r="A1317" s="4"/>
      <c r="B1317" s="5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5"/>
      <c r="P1317" s="4"/>
    </row>
    <row r="1318" spans="1:16">
      <c r="A1318" s="4"/>
      <c r="B1318" s="5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5"/>
      <c r="P1318" s="4"/>
    </row>
    <row r="1319" spans="1:16">
      <c r="A1319" s="4"/>
      <c r="B1319" s="5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5"/>
      <c r="P1319" s="4"/>
    </row>
    <row r="1320" spans="1:16">
      <c r="A1320" s="4"/>
      <c r="B1320" s="5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5"/>
      <c r="P1320" s="4"/>
    </row>
    <row r="1321" spans="1:16">
      <c r="A1321" s="4"/>
      <c r="B1321" s="5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5"/>
      <c r="P1321" s="4"/>
    </row>
    <row r="1322" spans="1:16">
      <c r="A1322" s="4"/>
      <c r="B1322" s="5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5"/>
      <c r="P1322" s="4"/>
    </row>
    <row r="1323" spans="1:16">
      <c r="A1323" s="4"/>
      <c r="B1323" s="5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5"/>
      <c r="P1323" s="4"/>
    </row>
    <row r="1324" spans="1:16">
      <c r="A1324" s="4"/>
      <c r="B1324" s="5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5"/>
      <c r="P1324" s="4"/>
    </row>
    <row r="1325" spans="1:16">
      <c r="A1325" s="4"/>
      <c r="B1325" s="5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5"/>
      <c r="P1325" s="4"/>
    </row>
    <row r="1326" spans="1:16">
      <c r="A1326" s="4"/>
      <c r="B1326" s="5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5"/>
      <c r="P1326" s="4"/>
    </row>
    <row r="1327" spans="1:16">
      <c r="A1327" s="4"/>
      <c r="B1327" s="5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5"/>
      <c r="P1327" s="4"/>
    </row>
    <row r="1328" spans="1:16">
      <c r="A1328" s="4"/>
      <c r="B1328" s="5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5"/>
      <c r="P1328" s="4"/>
    </row>
    <row r="1329" spans="1:16">
      <c r="A1329" s="4"/>
      <c r="B1329" s="5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5"/>
      <c r="P1329" s="4"/>
    </row>
    <row r="1330" spans="1:16">
      <c r="A1330" s="4"/>
      <c r="B1330" s="5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5"/>
      <c r="P1330" s="4"/>
    </row>
    <row r="1331" spans="1:16">
      <c r="A1331" s="4"/>
      <c r="B1331" s="5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5"/>
      <c r="P1331" s="4"/>
    </row>
    <row r="1332" spans="1:16">
      <c r="A1332" s="4"/>
      <c r="B1332" s="5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5"/>
      <c r="P1332" s="4"/>
    </row>
    <row r="1333" spans="1:16">
      <c r="A1333" s="4"/>
      <c r="B1333" s="5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5"/>
      <c r="P1333" s="4"/>
    </row>
    <row r="1334" spans="1:16">
      <c r="A1334" s="4"/>
      <c r="B1334" s="5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5"/>
      <c r="P1334" s="4"/>
    </row>
    <row r="1335" spans="1:16">
      <c r="A1335" s="4"/>
      <c r="B1335" s="5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5"/>
      <c r="P1335" s="4"/>
    </row>
    <row r="1336" spans="1:16">
      <c r="A1336" s="4"/>
      <c r="B1336" s="5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5"/>
      <c r="P1336" s="4"/>
    </row>
    <row r="1337" spans="1:16">
      <c r="A1337" s="4"/>
      <c r="B1337" s="5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5"/>
      <c r="P1337" s="4"/>
    </row>
    <row r="1338" spans="1:16">
      <c r="A1338" s="4"/>
      <c r="B1338" s="5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5"/>
      <c r="P1338" s="4"/>
    </row>
    <row r="1339" spans="1:16">
      <c r="A1339" s="4"/>
      <c r="B1339" s="5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5"/>
      <c r="P1339" s="4"/>
    </row>
    <row r="1340" spans="1:16">
      <c r="A1340" s="4"/>
      <c r="B1340" s="5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5"/>
      <c r="P1340" s="4"/>
    </row>
    <row r="1341" spans="1:16">
      <c r="A1341" s="4"/>
      <c r="B1341" s="5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5"/>
      <c r="P1341" s="4"/>
    </row>
    <row r="1342" spans="1:16">
      <c r="A1342" s="4"/>
      <c r="B1342" s="5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5"/>
      <c r="P1342" s="4"/>
    </row>
    <row r="1343" spans="1:16">
      <c r="A1343" s="4"/>
      <c r="B1343" s="5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5"/>
      <c r="P1343" s="4"/>
    </row>
    <row r="1344" spans="1:16">
      <c r="A1344" s="4"/>
      <c r="B1344" s="5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5"/>
      <c r="P1344" s="4"/>
    </row>
    <row r="1345" spans="1:16">
      <c r="A1345" s="4"/>
      <c r="B1345" s="5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5"/>
      <c r="P1345" s="4"/>
    </row>
    <row r="1346" spans="1:16">
      <c r="A1346" s="4"/>
      <c r="B1346" s="5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5"/>
      <c r="P1346" s="4"/>
    </row>
    <row r="1347" spans="1:16">
      <c r="A1347" s="4"/>
      <c r="B1347" s="5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5"/>
      <c r="P1347" s="4"/>
    </row>
    <row r="1348" spans="1:16">
      <c r="A1348" s="4"/>
      <c r="B1348" s="5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5"/>
      <c r="P1348" s="4"/>
    </row>
    <row r="1349" spans="1:16">
      <c r="A1349" s="4"/>
      <c r="B1349" s="5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5"/>
      <c r="P1349" s="4"/>
    </row>
    <row r="1350" spans="1:16">
      <c r="A1350" s="4"/>
      <c r="B1350" s="5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5"/>
      <c r="P1350" s="4"/>
    </row>
    <row r="1351" spans="1:16">
      <c r="A1351" s="4"/>
      <c r="B1351" s="5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5"/>
      <c r="P1351" s="4"/>
    </row>
    <row r="1352" spans="1:16">
      <c r="A1352" s="4"/>
      <c r="B1352" s="5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5"/>
      <c r="P1352" s="4"/>
    </row>
    <row r="1353" spans="1:16">
      <c r="A1353" s="4"/>
      <c r="B1353" s="5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5"/>
      <c r="P1353" s="4"/>
    </row>
    <row r="1354" spans="1:16">
      <c r="A1354" s="4"/>
      <c r="B1354" s="5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5"/>
      <c r="P1354" s="4"/>
    </row>
    <row r="1355" spans="1:16">
      <c r="A1355" s="4"/>
      <c r="B1355" s="5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5"/>
      <c r="P1355" s="4"/>
    </row>
    <row r="1356" spans="1:16">
      <c r="A1356" s="4"/>
      <c r="B1356" s="5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5"/>
      <c r="P1356" s="4"/>
    </row>
    <row r="1357" spans="1:16">
      <c r="A1357" s="4"/>
      <c r="B1357" s="5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5"/>
      <c r="P1357" s="4"/>
    </row>
    <row r="1358" spans="1:16">
      <c r="A1358" s="4"/>
      <c r="B1358" s="5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5"/>
      <c r="P1358" s="4"/>
    </row>
    <row r="1359" spans="1:16">
      <c r="A1359" s="4"/>
      <c r="B1359" s="5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5"/>
      <c r="P1359" s="4"/>
    </row>
    <row r="1360" spans="1:16">
      <c r="A1360" s="4"/>
      <c r="B1360" s="5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5"/>
      <c r="P1360" s="4"/>
    </row>
    <row r="1361" spans="1:16">
      <c r="A1361" s="4"/>
      <c r="B1361" s="5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5"/>
      <c r="P1361" s="4"/>
    </row>
    <row r="1362" spans="1:16">
      <c r="A1362" s="4"/>
      <c r="B1362" s="5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5"/>
      <c r="P1362" s="4"/>
    </row>
    <row r="1363" spans="1:16">
      <c r="A1363" s="4"/>
      <c r="B1363" s="5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5"/>
      <c r="P1363" s="4"/>
    </row>
    <row r="1364" spans="1:16">
      <c r="A1364" s="4"/>
      <c r="B1364" s="5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5"/>
      <c r="P1364" s="4"/>
    </row>
    <row r="1365" spans="1:16">
      <c r="A1365" s="4"/>
      <c r="B1365" s="5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5"/>
      <c r="P1365" s="4"/>
    </row>
    <row r="1366" spans="1:16">
      <c r="A1366" s="4"/>
      <c r="B1366" s="5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5"/>
      <c r="P1366" s="4"/>
    </row>
    <row r="1367" spans="1:16">
      <c r="A1367" s="4"/>
      <c r="B1367" s="5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5"/>
      <c r="P1367" s="4"/>
    </row>
    <row r="1368" spans="1:16">
      <c r="A1368" s="4"/>
      <c r="B1368" s="5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5"/>
      <c r="P1368" s="4"/>
    </row>
    <row r="1369" spans="1:16">
      <c r="A1369" s="4"/>
      <c r="B1369" s="5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5"/>
      <c r="P1369" s="4"/>
    </row>
    <row r="1370" spans="1:16">
      <c r="A1370" s="4"/>
      <c r="B1370" s="5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5"/>
      <c r="P1370" s="4"/>
    </row>
    <row r="1371" spans="1:16">
      <c r="A1371" s="4"/>
      <c r="B1371" s="5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5"/>
      <c r="P1371" s="4"/>
    </row>
    <row r="1372" spans="1:16">
      <c r="A1372" s="4"/>
      <c r="B1372" s="5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5"/>
      <c r="P1372" s="4"/>
    </row>
    <row r="1373" spans="1:16">
      <c r="A1373" s="4"/>
      <c r="B1373" s="5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5"/>
      <c r="P1373" s="4"/>
    </row>
    <row r="1374" spans="1:16">
      <c r="A1374" s="4"/>
      <c r="B1374" s="5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5"/>
      <c r="P1374" s="4"/>
    </row>
    <row r="1375" spans="1:16">
      <c r="A1375" s="4"/>
      <c r="B1375" s="5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5"/>
      <c r="P1375" s="4"/>
    </row>
    <row r="1376" spans="1:16">
      <c r="A1376" s="4"/>
      <c r="B1376" s="5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5"/>
      <c r="P1376" s="4"/>
    </row>
    <row r="1377" spans="1:16">
      <c r="A1377" s="4"/>
      <c r="B1377" s="5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5"/>
      <c r="P1377" s="4"/>
    </row>
    <row r="1378" spans="1:16">
      <c r="A1378" s="4"/>
      <c r="B1378" s="5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5"/>
      <c r="P1378" s="4"/>
    </row>
    <row r="1379" spans="1:16">
      <c r="A1379" s="4"/>
      <c r="B1379" s="5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5"/>
      <c r="P1379" s="4"/>
    </row>
    <row r="1380" spans="1:16">
      <c r="A1380" s="4"/>
      <c r="B1380" s="5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5"/>
      <c r="P1380" s="4"/>
    </row>
    <row r="1381" spans="1:16">
      <c r="A1381" s="4"/>
      <c r="B1381" s="5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5"/>
      <c r="P1381" s="4"/>
    </row>
    <row r="1382" spans="1:16">
      <c r="A1382" s="4"/>
      <c r="B1382" s="5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5"/>
      <c r="P1382" s="4"/>
    </row>
    <row r="1383" spans="1:16">
      <c r="A1383" s="4"/>
      <c r="B1383" s="5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5"/>
      <c r="P1383" s="4"/>
    </row>
    <row r="1384" spans="1:16">
      <c r="A1384" s="4"/>
      <c r="B1384" s="5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5"/>
      <c r="P1384" s="4"/>
    </row>
    <row r="1385" spans="1:16">
      <c r="A1385" s="4"/>
      <c r="B1385" s="5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5"/>
      <c r="P1385" s="4"/>
    </row>
    <row r="1386" spans="1:16">
      <c r="A1386" s="4"/>
      <c r="B1386" s="5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5"/>
      <c r="P1386" s="4"/>
    </row>
    <row r="1387" spans="1:16">
      <c r="A1387" s="4"/>
      <c r="B1387" s="5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5"/>
      <c r="P1387" s="4"/>
    </row>
    <row r="1388" spans="1:16">
      <c r="A1388" s="4"/>
      <c r="B1388" s="5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5"/>
      <c r="P1388" s="4"/>
    </row>
    <row r="1389" spans="1:16">
      <c r="A1389" s="4"/>
      <c r="B1389" s="5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5"/>
      <c r="P1389" s="4"/>
    </row>
    <row r="1390" spans="1:16">
      <c r="A1390" s="4"/>
      <c r="B1390" s="5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5"/>
      <c r="P1390" s="4"/>
    </row>
    <row r="1391" spans="1:16">
      <c r="A1391" s="4"/>
      <c r="B1391" s="5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5"/>
      <c r="P1391" s="4"/>
    </row>
    <row r="1392" spans="1:16">
      <c r="A1392" s="4"/>
      <c r="B1392" s="5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5"/>
      <c r="P1392" s="4"/>
    </row>
    <row r="1393" spans="1:16">
      <c r="A1393" s="4"/>
      <c r="B1393" s="5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5"/>
      <c r="P1393" s="4"/>
    </row>
    <row r="1394" spans="1:16">
      <c r="A1394" s="4"/>
      <c r="B1394" s="5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5"/>
      <c r="P1394" s="4"/>
    </row>
    <row r="1395" spans="1:16">
      <c r="A1395" s="4"/>
      <c r="B1395" s="5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5"/>
      <c r="P1395" s="4"/>
    </row>
    <row r="1396" spans="1:16">
      <c r="A1396" s="4"/>
      <c r="B1396" s="5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5"/>
      <c r="P1396" s="4"/>
    </row>
    <row r="1397" spans="1:16">
      <c r="A1397" s="4"/>
      <c r="B1397" s="5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5"/>
      <c r="P1397" s="4"/>
    </row>
    <row r="1398" spans="1:16">
      <c r="A1398" s="4"/>
      <c r="B1398" s="5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5"/>
      <c r="P1398" s="4"/>
    </row>
    <row r="1399" spans="1:16">
      <c r="A1399" s="4"/>
      <c r="B1399" s="5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5"/>
      <c r="P1399" s="4"/>
    </row>
    <row r="1400" spans="1:16">
      <c r="A1400" s="4"/>
      <c r="B1400" s="5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5"/>
      <c r="P1400" s="4"/>
    </row>
    <row r="1401" spans="1:16">
      <c r="A1401" s="4"/>
      <c r="B1401" s="5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5"/>
      <c r="P1401" s="4"/>
    </row>
    <row r="1402" spans="1:16">
      <c r="A1402" s="4"/>
      <c r="B1402" s="5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5"/>
      <c r="P1402" s="4"/>
    </row>
    <row r="1403" spans="1:16">
      <c r="A1403" s="4"/>
      <c r="B1403" s="5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5"/>
      <c r="P1403" s="4"/>
    </row>
    <row r="1404" spans="1:16">
      <c r="A1404" s="4"/>
      <c r="B1404" s="5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5"/>
      <c r="P1404" s="4"/>
    </row>
    <row r="1405" spans="1:16">
      <c r="A1405" s="4"/>
      <c r="B1405" s="5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5"/>
      <c r="P1405" s="4"/>
    </row>
    <row r="1406" spans="1:16">
      <c r="A1406" s="4"/>
      <c r="B1406" s="5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5"/>
      <c r="P1406" s="4"/>
    </row>
    <row r="1407" spans="1:16">
      <c r="A1407" s="4"/>
      <c r="B1407" s="5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5"/>
      <c r="P1407" s="4"/>
    </row>
    <row r="1408" spans="1:16">
      <c r="A1408" s="4"/>
      <c r="B1408" s="5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5"/>
      <c r="P1408" s="4"/>
    </row>
    <row r="1409" spans="1:16">
      <c r="A1409" s="4"/>
      <c r="B1409" s="5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5"/>
      <c r="P1409" s="4"/>
    </row>
    <row r="1410" spans="1:16">
      <c r="A1410" s="4"/>
      <c r="B1410" s="5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5"/>
      <c r="P1410" s="4"/>
    </row>
    <row r="1411" spans="1:16">
      <c r="A1411" s="4"/>
      <c r="B1411" s="5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5"/>
      <c r="P1411" s="4"/>
    </row>
    <row r="1412" spans="1:16">
      <c r="A1412" s="4"/>
      <c r="B1412" s="5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5"/>
      <c r="P1412" s="4"/>
    </row>
    <row r="1413" spans="1:16">
      <c r="A1413" s="4"/>
      <c r="B1413" s="5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5"/>
      <c r="P1413" s="4"/>
    </row>
    <row r="1414" spans="1:16">
      <c r="A1414" s="4"/>
      <c r="B1414" s="5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5"/>
      <c r="P1414" s="4"/>
    </row>
    <row r="1415" spans="1:16">
      <c r="A1415" s="4"/>
      <c r="B1415" s="5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5"/>
      <c r="P1415" s="4"/>
    </row>
    <row r="1416" spans="1:16">
      <c r="A1416" s="4"/>
      <c r="B1416" s="5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5"/>
      <c r="P1416" s="4"/>
    </row>
    <row r="1417" spans="1:16">
      <c r="A1417" s="4"/>
      <c r="B1417" s="5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5"/>
      <c r="P1417" s="4"/>
    </row>
    <row r="1418" spans="1:16">
      <c r="A1418" s="4"/>
      <c r="B1418" s="5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5"/>
      <c r="P1418" s="4"/>
    </row>
    <row r="1419" spans="1:16">
      <c r="A1419" s="4"/>
      <c r="B1419" s="5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5"/>
      <c r="P1419" s="4"/>
    </row>
    <row r="1420" spans="1:16">
      <c r="A1420" s="4"/>
      <c r="B1420" s="5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5"/>
      <c r="P1420" s="4"/>
    </row>
    <row r="1421" spans="1:16">
      <c r="A1421" s="4"/>
      <c r="B1421" s="5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5"/>
      <c r="P1421" s="4"/>
    </row>
    <row r="1422" spans="1:16">
      <c r="A1422" s="4"/>
      <c r="B1422" s="5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5"/>
      <c r="P1422" s="4"/>
    </row>
    <row r="1423" spans="1:16">
      <c r="A1423" s="4"/>
      <c r="B1423" s="5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5"/>
      <c r="P1423" s="4"/>
    </row>
    <row r="1424" spans="1:16">
      <c r="A1424" s="4"/>
      <c r="B1424" s="5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5"/>
      <c r="P1424" s="4"/>
    </row>
    <row r="1425" spans="1:16">
      <c r="A1425" s="4"/>
      <c r="B1425" s="5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5"/>
      <c r="P1425" s="4"/>
    </row>
    <row r="1426" spans="1:16">
      <c r="A1426" s="4"/>
      <c r="B1426" s="5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5"/>
      <c r="P1426" s="4"/>
    </row>
    <row r="1427" spans="1:16">
      <c r="A1427" s="4"/>
      <c r="B1427" s="5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5"/>
      <c r="P1427" s="4"/>
    </row>
    <row r="1428" spans="1:16">
      <c r="A1428" s="4"/>
      <c r="B1428" s="5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5"/>
      <c r="P1428" s="4"/>
    </row>
    <row r="1429" spans="1:16">
      <c r="A1429" s="4"/>
      <c r="B1429" s="5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5"/>
      <c r="P1429" s="4"/>
    </row>
    <row r="1430" spans="1:16">
      <c r="A1430" s="4"/>
      <c r="B1430" s="5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5"/>
      <c r="P1430" s="4"/>
    </row>
    <row r="1431" spans="1:16">
      <c r="A1431" s="4"/>
      <c r="B1431" s="5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5"/>
      <c r="P1431" s="4"/>
    </row>
    <row r="1432" spans="1:16">
      <c r="A1432" s="4"/>
      <c r="B1432" s="5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5"/>
      <c r="P1432" s="4"/>
    </row>
    <row r="1433" spans="1:16">
      <c r="A1433" s="4"/>
      <c r="B1433" s="5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5"/>
      <c r="P1433" s="4"/>
    </row>
    <row r="1434" spans="1:16">
      <c r="A1434" s="4"/>
      <c r="B1434" s="5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5"/>
      <c r="P1434" s="4"/>
    </row>
    <row r="1435" spans="1:16">
      <c r="A1435" s="4"/>
      <c r="B1435" s="5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5"/>
      <c r="P1435" s="4"/>
    </row>
    <row r="1436" spans="1:16">
      <c r="A1436" s="4"/>
      <c r="B1436" s="5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5"/>
      <c r="P1436" s="4"/>
    </row>
    <row r="1437" spans="1:16">
      <c r="A1437" s="4"/>
      <c r="B1437" s="5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5"/>
      <c r="P1437" s="4"/>
    </row>
    <row r="1438" spans="1:16">
      <c r="A1438" s="4"/>
      <c r="B1438" s="5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5"/>
      <c r="P1438" s="4"/>
    </row>
    <row r="1439" spans="1:16">
      <c r="A1439" s="4"/>
      <c r="B1439" s="5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5"/>
      <c r="P1439" s="4"/>
    </row>
    <row r="1440" spans="1:16">
      <c r="A1440" s="4"/>
      <c r="B1440" s="5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5"/>
      <c r="P1440" s="4"/>
    </row>
    <row r="1441" spans="1:16">
      <c r="A1441" s="4"/>
      <c r="B1441" s="5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5"/>
      <c r="P1441" s="4"/>
    </row>
    <row r="1442" spans="1:16">
      <c r="A1442" s="4"/>
      <c r="B1442" s="5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5"/>
      <c r="P1442" s="4"/>
    </row>
    <row r="1443" spans="1:16">
      <c r="A1443" s="4"/>
      <c r="B1443" s="5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5"/>
      <c r="P1443" s="4"/>
    </row>
    <row r="1444" spans="1:16">
      <c r="A1444" s="4"/>
      <c r="B1444" s="5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5"/>
      <c r="P1444" s="4"/>
    </row>
    <row r="1445" spans="1:16">
      <c r="A1445" s="4"/>
      <c r="B1445" s="5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5"/>
      <c r="P1445" s="4"/>
    </row>
    <row r="1446" spans="1:16">
      <c r="A1446" s="4"/>
      <c r="B1446" s="5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5"/>
      <c r="P1446" s="4"/>
    </row>
    <row r="1447" spans="1:16">
      <c r="A1447" s="4"/>
      <c r="B1447" s="5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5"/>
      <c r="P1447" s="4"/>
    </row>
    <row r="1448" spans="1:16">
      <c r="A1448" s="4"/>
      <c r="B1448" s="5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5"/>
      <c r="P1448" s="4"/>
    </row>
    <row r="1449" spans="1:16">
      <c r="A1449" s="4"/>
      <c r="B1449" s="5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5"/>
      <c r="P1449" s="4"/>
    </row>
    <row r="1450" spans="1:16">
      <c r="A1450" s="4"/>
      <c r="B1450" s="5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5"/>
      <c r="P1450" s="4"/>
    </row>
    <row r="1451" spans="1:16">
      <c r="A1451" s="4"/>
      <c r="B1451" s="5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5"/>
      <c r="P1451" s="4"/>
    </row>
    <row r="1452" spans="1:16">
      <c r="A1452" s="4"/>
      <c r="B1452" s="5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5"/>
      <c r="P1452" s="4"/>
    </row>
    <row r="1453" spans="1:16">
      <c r="A1453" s="4"/>
      <c r="B1453" s="5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5"/>
      <c r="P1453" s="4"/>
    </row>
    <row r="1454" spans="1:16">
      <c r="A1454" s="4"/>
      <c r="B1454" s="5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5"/>
      <c r="P1454" s="4"/>
    </row>
    <row r="1455" spans="1:16">
      <c r="A1455" s="4"/>
      <c r="B1455" s="5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5"/>
      <c r="P1455" s="4"/>
    </row>
    <row r="1456" spans="1:16">
      <c r="A1456" s="4"/>
      <c r="B1456" s="5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5"/>
      <c r="P1456" s="4"/>
    </row>
    <row r="1457" spans="1:16">
      <c r="A1457" s="4"/>
      <c r="B1457" s="5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5"/>
      <c r="P1457" s="4"/>
    </row>
    <row r="1458" spans="1:16">
      <c r="A1458" s="4"/>
      <c r="B1458" s="5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5"/>
      <c r="P1458" s="4"/>
    </row>
    <row r="1459" spans="1:16">
      <c r="A1459" s="4"/>
      <c r="B1459" s="5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5"/>
      <c r="P1459" s="4"/>
    </row>
    <row r="1460" spans="1:16">
      <c r="A1460" s="4"/>
      <c r="B1460" s="5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5"/>
      <c r="P1460" s="4"/>
    </row>
    <row r="1461" spans="1:16">
      <c r="A1461" s="4"/>
      <c r="B1461" s="5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5"/>
      <c r="P1461" s="4"/>
    </row>
    <row r="1462" spans="1:16">
      <c r="A1462" s="4"/>
      <c r="B1462" s="5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5"/>
      <c r="P1462" s="4"/>
    </row>
    <row r="1463" spans="1:16">
      <c r="A1463" s="4"/>
      <c r="B1463" s="5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5"/>
      <c r="P1463" s="4"/>
    </row>
    <row r="1464" spans="1:16">
      <c r="A1464" s="4"/>
      <c r="B1464" s="5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5"/>
      <c r="P1464" s="4"/>
    </row>
    <row r="1465" spans="1:16">
      <c r="A1465" s="4"/>
      <c r="B1465" s="5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5"/>
      <c r="P1465" s="4"/>
    </row>
    <row r="1466" spans="1:16">
      <c r="A1466" s="4"/>
      <c r="B1466" s="5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5"/>
      <c r="P1466" s="4"/>
    </row>
    <row r="1467" spans="1:16">
      <c r="A1467" s="4"/>
      <c r="B1467" s="5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5"/>
      <c r="P1467" s="4"/>
    </row>
    <row r="1468" spans="1:16">
      <c r="A1468" s="4"/>
      <c r="B1468" s="5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5"/>
      <c r="P1468" s="4"/>
    </row>
    <row r="1469" spans="1:16">
      <c r="A1469" s="4"/>
      <c r="B1469" s="5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5"/>
      <c r="P1469" s="4"/>
    </row>
    <row r="1470" spans="1:16">
      <c r="A1470" s="4"/>
      <c r="B1470" s="5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5"/>
      <c r="P1470" s="4"/>
    </row>
    <row r="1471" spans="1:16">
      <c r="A1471" s="4"/>
      <c r="B1471" s="5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5"/>
      <c r="P1471" s="4"/>
    </row>
    <row r="1472" spans="1:16">
      <c r="A1472" s="4"/>
      <c r="B1472" s="5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5"/>
      <c r="P1472" s="4"/>
    </row>
    <row r="1473" spans="1:16">
      <c r="A1473" s="4"/>
      <c r="B1473" s="5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5"/>
      <c r="P1473" s="4"/>
    </row>
    <row r="1474" spans="1:16">
      <c r="A1474" s="4"/>
      <c r="B1474" s="5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5"/>
      <c r="P1474" s="4"/>
    </row>
    <row r="1475" spans="1:16">
      <c r="A1475" s="4"/>
      <c r="B1475" s="5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5"/>
      <c r="P1475" s="4"/>
    </row>
    <row r="1476" spans="1:16">
      <c r="A1476" s="4"/>
      <c r="B1476" s="5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5"/>
      <c r="P1476" s="4"/>
    </row>
    <row r="1477" spans="1:16">
      <c r="A1477" s="4"/>
      <c r="B1477" s="5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5"/>
      <c r="P1477" s="4"/>
    </row>
    <row r="1478" spans="1:16">
      <c r="A1478" s="4"/>
      <c r="B1478" s="5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5"/>
      <c r="P1478" s="4"/>
    </row>
    <row r="1479" spans="1:16">
      <c r="A1479" s="4"/>
      <c r="B1479" s="5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5"/>
      <c r="P1479" s="4"/>
    </row>
    <row r="1480" spans="1:16">
      <c r="A1480" s="4"/>
      <c r="B1480" s="5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5"/>
      <c r="P1480" s="4"/>
    </row>
    <row r="1481" spans="1:16">
      <c r="A1481" s="4"/>
      <c r="B1481" s="5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5"/>
      <c r="P1481" s="4"/>
    </row>
    <row r="1482" spans="1:16">
      <c r="A1482" s="4"/>
      <c r="B1482" s="5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5"/>
      <c r="P1482" s="4"/>
    </row>
    <row r="1483" spans="1:16">
      <c r="A1483" s="4"/>
      <c r="B1483" s="5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5"/>
      <c r="P1483" s="4"/>
    </row>
    <row r="1484" spans="1:16">
      <c r="A1484" s="4"/>
      <c r="B1484" s="5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5"/>
      <c r="P1484" s="4"/>
    </row>
    <row r="1485" spans="1:16">
      <c r="A1485" s="4"/>
      <c r="B1485" s="5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5"/>
      <c r="P1485" s="4"/>
    </row>
    <row r="1486" spans="1:16">
      <c r="A1486" s="4"/>
      <c r="B1486" s="5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5"/>
      <c r="P1486" s="4"/>
    </row>
    <row r="1487" spans="1:16">
      <c r="A1487" s="4"/>
      <c r="B1487" s="5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5"/>
      <c r="P1487" s="4"/>
    </row>
    <row r="1488" spans="1:16">
      <c r="A1488" s="4"/>
      <c r="B1488" s="5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5"/>
      <c r="P1488" s="4"/>
    </row>
    <row r="1489" spans="1:16">
      <c r="A1489" s="4"/>
      <c r="B1489" s="5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5"/>
      <c r="P1489" s="4"/>
    </row>
    <row r="1490" spans="1:16">
      <c r="A1490" s="4"/>
      <c r="B1490" s="5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5"/>
      <c r="P1490" s="4"/>
    </row>
    <row r="1491" spans="1:16">
      <c r="A1491" s="4"/>
      <c r="B1491" s="5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5"/>
      <c r="P1491" s="4"/>
    </row>
    <row r="1492" spans="1:16">
      <c r="A1492" s="4"/>
      <c r="B1492" s="5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5"/>
      <c r="P1492" s="4"/>
    </row>
    <row r="1493" spans="1:16">
      <c r="A1493" s="4"/>
      <c r="B1493" s="5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5"/>
      <c r="P1493" s="4"/>
    </row>
    <row r="1494" spans="1:16">
      <c r="A1494" s="4"/>
      <c r="B1494" s="5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5"/>
      <c r="P1494" s="4"/>
    </row>
    <row r="1495" spans="1:16">
      <c r="A1495" s="4"/>
      <c r="B1495" s="5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5"/>
      <c r="P1495" s="4"/>
    </row>
    <row r="1496" spans="1:16">
      <c r="A1496" s="4"/>
      <c r="B1496" s="5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5"/>
      <c r="P1496" s="4"/>
    </row>
    <row r="1497" spans="1:16">
      <c r="A1497" s="4"/>
      <c r="B1497" s="5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5"/>
      <c r="P1497" s="4"/>
    </row>
    <row r="1498" spans="1:16">
      <c r="A1498" s="4"/>
      <c r="B1498" s="5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5"/>
      <c r="P1498" s="4"/>
    </row>
    <row r="1499" spans="1:16">
      <c r="A1499" s="4"/>
      <c r="B1499" s="5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5"/>
      <c r="P1499" s="4"/>
    </row>
    <row r="1500" spans="1:16">
      <c r="A1500" s="4"/>
      <c r="B1500" s="5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5"/>
      <c r="P1500" s="4"/>
    </row>
    <row r="1501" spans="1:16">
      <c r="A1501" s="4"/>
      <c r="B1501" s="5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5"/>
      <c r="P1501" s="4"/>
    </row>
    <row r="1502" spans="1:16">
      <c r="A1502" s="4"/>
      <c r="B1502" s="5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5"/>
      <c r="P1502" s="4"/>
    </row>
    <row r="1503" spans="1:16">
      <c r="A1503" s="4"/>
      <c r="B1503" s="5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5"/>
      <c r="P1503" s="4"/>
    </row>
    <row r="1504" spans="1:16">
      <c r="A1504" s="4"/>
      <c r="B1504" s="5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5"/>
      <c r="P1504" s="4"/>
    </row>
    <row r="1505" spans="1:16">
      <c r="A1505" s="4"/>
      <c r="B1505" s="5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5"/>
      <c r="P1505" s="4"/>
    </row>
    <row r="1506" spans="1:16">
      <c r="A1506" s="4"/>
      <c r="B1506" s="5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5"/>
      <c r="P1506" s="4"/>
    </row>
    <row r="1507" spans="1:16">
      <c r="A1507" s="4"/>
      <c r="B1507" s="5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5"/>
      <c r="P1507" s="4"/>
    </row>
    <row r="1508" spans="1:16">
      <c r="A1508" s="4"/>
      <c r="B1508" s="5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5"/>
      <c r="P1508" s="4"/>
    </row>
    <row r="1509" spans="1:16">
      <c r="A1509" s="4"/>
      <c r="B1509" s="5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5"/>
      <c r="P1509" s="4"/>
    </row>
    <row r="1510" spans="1:16">
      <c r="A1510" s="4"/>
      <c r="B1510" s="5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5"/>
      <c r="P1510" s="4"/>
    </row>
    <row r="1511" spans="1:16">
      <c r="A1511" s="4"/>
      <c r="B1511" s="5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5"/>
      <c r="P1511" s="4"/>
    </row>
    <row r="1512" spans="1:16">
      <c r="A1512" s="4"/>
      <c r="B1512" s="5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5"/>
      <c r="P1512" s="4"/>
    </row>
    <row r="1513" spans="1:16">
      <c r="A1513" s="4"/>
      <c r="B1513" s="5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5"/>
      <c r="P1513" s="4"/>
    </row>
    <row r="1514" spans="1:16">
      <c r="A1514" s="4"/>
      <c r="B1514" s="5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5"/>
      <c r="P1514" s="4"/>
    </row>
    <row r="1515" spans="1:16">
      <c r="A1515" s="4"/>
      <c r="B1515" s="5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5"/>
      <c r="P1515" s="4"/>
    </row>
    <row r="1516" spans="1:16">
      <c r="A1516" s="4"/>
      <c r="B1516" s="5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5"/>
      <c r="P1516" s="4"/>
    </row>
    <row r="1517" spans="1:16">
      <c r="A1517" s="4"/>
      <c r="B1517" s="5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5"/>
      <c r="P1517" s="4"/>
    </row>
    <row r="1518" spans="1:16">
      <c r="A1518" s="4"/>
      <c r="B1518" s="5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5"/>
      <c r="P1518" s="4"/>
    </row>
    <row r="1519" spans="1:16">
      <c r="A1519" s="4"/>
      <c r="B1519" s="5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5"/>
      <c r="P1519" s="4"/>
    </row>
    <row r="1520" spans="1:16">
      <c r="A1520" s="4"/>
      <c r="B1520" s="5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5"/>
      <c r="P1520" s="4"/>
    </row>
    <row r="1521" spans="1:16">
      <c r="A1521" s="4"/>
      <c r="B1521" s="5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5"/>
      <c r="P1521" s="4"/>
    </row>
    <row r="1522" spans="1:16">
      <c r="A1522" s="4"/>
      <c r="B1522" s="5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5"/>
      <c r="P1522" s="4"/>
    </row>
    <row r="1523" spans="1:16">
      <c r="A1523" s="4"/>
      <c r="B1523" s="5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5"/>
      <c r="P1523" s="4"/>
    </row>
    <row r="1524" spans="1:16">
      <c r="A1524" s="4"/>
      <c r="B1524" s="5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5"/>
      <c r="P1524" s="4"/>
    </row>
    <row r="1525" spans="1:16">
      <c r="A1525" s="4"/>
      <c r="B1525" s="5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5"/>
      <c r="P1525" s="4"/>
    </row>
    <row r="1526" spans="1:16">
      <c r="A1526" s="4"/>
      <c r="B1526" s="5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5"/>
      <c r="P1526" s="4"/>
    </row>
    <row r="1527" spans="1:16">
      <c r="A1527" s="4"/>
      <c r="B1527" s="5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5"/>
      <c r="P1527" s="4"/>
    </row>
    <row r="1528" spans="1:16">
      <c r="A1528" s="4"/>
      <c r="B1528" s="5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5"/>
      <c r="P1528" s="4"/>
    </row>
    <row r="1529" spans="1:16">
      <c r="A1529" s="4"/>
      <c r="B1529" s="5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5"/>
      <c r="P1529" s="4"/>
    </row>
    <row r="1530" spans="1:16">
      <c r="A1530" s="4"/>
      <c r="B1530" s="5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5"/>
      <c r="P1530" s="4"/>
    </row>
    <row r="1531" spans="1:16">
      <c r="A1531" s="4"/>
      <c r="B1531" s="5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5"/>
      <c r="P1531" s="4"/>
    </row>
    <row r="1532" spans="1:16">
      <c r="A1532" s="4"/>
      <c r="B1532" s="5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5"/>
      <c r="P1532" s="4"/>
    </row>
    <row r="1533" spans="1:16">
      <c r="A1533" s="4"/>
      <c r="B1533" s="5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5"/>
      <c r="P1533" s="4"/>
    </row>
    <row r="1534" spans="1:16">
      <c r="A1534" s="4"/>
      <c r="B1534" s="5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5"/>
      <c r="P1534" s="4"/>
    </row>
    <row r="1535" spans="1:16">
      <c r="A1535" s="4"/>
      <c r="B1535" s="5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5"/>
      <c r="P1535" s="4"/>
    </row>
    <row r="1536" spans="1:16">
      <c r="A1536" s="4"/>
      <c r="B1536" s="5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5"/>
      <c r="P1536" s="4"/>
    </row>
    <row r="1537" spans="1:16">
      <c r="A1537" s="4"/>
      <c r="B1537" s="5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5"/>
      <c r="P1537" s="4"/>
    </row>
    <row r="1538" spans="1:16">
      <c r="A1538" s="4"/>
      <c r="B1538" s="5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5"/>
      <c r="P1538" s="4"/>
    </row>
    <row r="1539" spans="1:16">
      <c r="A1539" s="4"/>
      <c r="B1539" s="5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5"/>
      <c r="P1539" s="4"/>
    </row>
    <row r="1540" spans="1:16">
      <c r="A1540" s="4"/>
      <c r="B1540" s="5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5"/>
      <c r="P1540" s="4"/>
    </row>
    <row r="1541" spans="1:16">
      <c r="A1541" s="4"/>
      <c r="B1541" s="5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5"/>
      <c r="P1541" s="4"/>
    </row>
    <row r="1542" spans="1:16">
      <c r="A1542" s="4"/>
      <c r="B1542" s="5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5"/>
      <c r="P1542" s="4"/>
    </row>
    <row r="1543" spans="1:16">
      <c r="A1543" s="4"/>
      <c r="B1543" s="5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5"/>
      <c r="P1543" s="4"/>
    </row>
    <row r="1544" spans="1:16">
      <c r="A1544" s="4"/>
      <c r="B1544" s="5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5"/>
      <c r="P1544" s="4"/>
    </row>
    <row r="1545" spans="1:16">
      <c r="A1545" s="4"/>
      <c r="B1545" s="5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5"/>
      <c r="P1545" s="4"/>
    </row>
    <row r="1546" spans="1:16">
      <c r="A1546" s="4"/>
      <c r="B1546" s="5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5"/>
      <c r="P1546" s="4"/>
    </row>
    <row r="1547" spans="1:16">
      <c r="A1547" s="4"/>
      <c r="B1547" s="5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5"/>
      <c r="P1547" s="4"/>
    </row>
    <row r="1548" spans="1:16">
      <c r="A1548" s="4"/>
      <c r="B1548" s="5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5"/>
      <c r="P1548" s="4"/>
    </row>
    <row r="1549" spans="1:16">
      <c r="A1549" s="4"/>
      <c r="B1549" s="5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5"/>
      <c r="P1549" s="4"/>
    </row>
    <row r="1550" spans="1:16">
      <c r="A1550" s="4"/>
      <c r="B1550" s="5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5"/>
      <c r="P1550" s="4"/>
    </row>
    <row r="1551" spans="1:16">
      <c r="A1551" s="4"/>
      <c r="B1551" s="5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5"/>
      <c r="P1551" s="4"/>
    </row>
    <row r="1552" spans="1:16">
      <c r="A1552" s="4"/>
      <c r="B1552" s="5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5"/>
      <c r="P1552" s="4"/>
    </row>
    <row r="1553" spans="1:16">
      <c r="A1553" s="4"/>
      <c r="B1553" s="5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5"/>
      <c r="P1553" s="4"/>
    </row>
    <row r="1554" spans="1:16">
      <c r="A1554" s="4"/>
      <c r="B1554" s="5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5"/>
      <c r="P1554" s="4"/>
    </row>
    <row r="1555" spans="1:16">
      <c r="A1555" s="4"/>
      <c r="B1555" s="5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5"/>
      <c r="P1555" s="4"/>
    </row>
    <row r="1556" spans="1:16">
      <c r="A1556" s="4"/>
      <c r="B1556" s="5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5"/>
      <c r="P1556" s="4"/>
    </row>
    <row r="1557" spans="1:16">
      <c r="A1557" s="4"/>
      <c r="B1557" s="5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5"/>
      <c r="P1557" s="4"/>
    </row>
    <row r="1558" spans="1:16">
      <c r="A1558" s="4"/>
      <c r="B1558" s="5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5"/>
      <c r="P1558" s="4"/>
    </row>
    <row r="1559" spans="1:16">
      <c r="A1559" s="4"/>
      <c r="B1559" s="5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5"/>
      <c r="P1559" s="4"/>
    </row>
    <row r="1560" spans="1:16">
      <c r="A1560" s="4"/>
      <c r="B1560" s="5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5"/>
      <c r="P1560" s="4"/>
    </row>
    <row r="1561" spans="1:16">
      <c r="A1561" s="4"/>
      <c r="B1561" s="5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5"/>
      <c r="P1561" s="4"/>
    </row>
    <row r="1562" spans="1:16">
      <c r="A1562" s="4"/>
      <c r="B1562" s="5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5"/>
      <c r="P1562" s="4"/>
    </row>
    <row r="1563" spans="1:16">
      <c r="A1563" s="4"/>
      <c r="B1563" s="5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5"/>
      <c r="P1563" s="4"/>
    </row>
    <row r="1564" spans="1:16">
      <c r="A1564" s="4"/>
      <c r="B1564" s="5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5"/>
      <c r="P1564" s="4"/>
    </row>
    <row r="1565" spans="1:16">
      <c r="A1565" s="4"/>
      <c r="B1565" s="5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5"/>
      <c r="P1565" s="4"/>
    </row>
    <row r="1566" spans="1:16">
      <c r="A1566" s="4"/>
      <c r="B1566" s="5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5"/>
      <c r="P1566" s="4"/>
    </row>
    <row r="1567" spans="1:16">
      <c r="A1567" s="4"/>
      <c r="B1567" s="5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5"/>
      <c r="P1567" s="4"/>
    </row>
    <row r="1568" spans="1:16">
      <c r="A1568" s="4"/>
      <c r="B1568" s="5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5"/>
      <c r="P1568" s="4"/>
    </row>
    <row r="1569" spans="1:16">
      <c r="A1569" s="4"/>
      <c r="B1569" s="5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5"/>
      <c r="P1569" s="4"/>
    </row>
    <row r="1570" spans="1:16">
      <c r="A1570" s="4"/>
      <c r="B1570" s="5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5"/>
      <c r="P1570" s="4"/>
    </row>
    <row r="1571" spans="1:16">
      <c r="A1571" s="4"/>
      <c r="B1571" s="5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5"/>
      <c r="P1571" s="4"/>
    </row>
    <row r="1572" spans="1:16">
      <c r="A1572" s="4"/>
      <c r="B1572" s="5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5"/>
      <c r="P1572" s="4"/>
    </row>
    <row r="1573" spans="1:16">
      <c r="A1573" s="4"/>
      <c r="B1573" s="5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5"/>
      <c r="P1573" s="4"/>
    </row>
    <row r="1574" spans="1:16">
      <c r="A1574" s="4"/>
      <c r="B1574" s="5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5"/>
      <c r="P1574" s="4"/>
    </row>
    <row r="1575" spans="1:16">
      <c r="A1575" s="4"/>
      <c r="B1575" s="5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5"/>
      <c r="P1575" s="4"/>
    </row>
    <row r="1576" spans="1:16">
      <c r="A1576" s="4"/>
      <c r="B1576" s="5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5"/>
      <c r="P1576" s="4"/>
    </row>
    <row r="1577" spans="1:16">
      <c r="A1577" s="4"/>
      <c r="B1577" s="5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5"/>
      <c r="P1577" s="4"/>
    </row>
    <row r="1578" spans="1:16">
      <c r="A1578" s="4"/>
      <c r="B1578" s="5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5"/>
      <c r="P1578" s="4"/>
    </row>
    <row r="1579" spans="1:16">
      <c r="A1579" s="4"/>
      <c r="B1579" s="5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5"/>
      <c r="P1579" s="4"/>
    </row>
    <row r="1580" spans="1:16">
      <c r="A1580" s="4"/>
      <c r="B1580" s="5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5"/>
      <c r="P1580" s="4"/>
    </row>
    <row r="1581" spans="1:16">
      <c r="A1581" s="4"/>
      <c r="B1581" s="5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5"/>
      <c r="P1581" s="4"/>
    </row>
    <row r="1582" spans="1:16">
      <c r="A1582" s="4"/>
      <c r="B1582" s="5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5"/>
      <c r="P1582" s="4"/>
    </row>
    <row r="1583" spans="1:16">
      <c r="A1583" s="4"/>
      <c r="B1583" s="5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5"/>
      <c r="P1583" s="4"/>
    </row>
    <row r="1584" spans="1:16">
      <c r="A1584" s="4"/>
      <c r="B1584" s="5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5"/>
      <c r="P1584" s="4"/>
    </row>
    <row r="1585" spans="1:16">
      <c r="A1585" s="4"/>
      <c r="B1585" s="5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5"/>
      <c r="P1585" s="4"/>
    </row>
    <row r="1586" spans="1:16">
      <c r="A1586" s="4"/>
      <c r="B1586" s="5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5"/>
      <c r="P1586" s="4"/>
    </row>
    <row r="1587" spans="1:16">
      <c r="A1587" s="4"/>
      <c r="B1587" s="5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5"/>
      <c r="P1587" s="4"/>
    </row>
    <row r="1588" spans="1:16">
      <c r="A1588" s="4"/>
      <c r="B1588" s="5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5"/>
      <c r="P1588" s="4"/>
    </row>
    <row r="1589" spans="1:16">
      <c r="A1589" s="4"/>
      <c r="B1589" s="5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5"/>
      <c r="P1589" s="4"/>
    </row>
    <row r="1590" spans="1:16">
      <c r="A1590" s="4"/>
      <c r="B1590" s="5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5"/>
      <c r="P1590" s="4"/>
    </row>
    <row r="1591" spans="1:16">
      <c r="A1591" s="4"/>
      <c r="B1591" s="5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5"/>
      <c r="P1591" s="4"/>
    </row>
    <row r="1592" spans="1:16">
      <c r="A1592" s="4"/>
      <c r="B1592" s="5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5"/>
      <c r="P1592" s="4"/>
    </row>
    <row r="1593" spans="1:16">
      <c r="A1593" s="4"/>
      <c r="B1593" s="5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5"/>
      <c r="P1593" s="4"/>
    </row>
    <row r="1594" spans="1:16">
      <c r="A1594" s="4"/>
      <c r="B1594" s="5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5"/>
      <c r="P1594" s="4"/>
    </row>
    <row r="1595" spans="1:16">
      <c r="A1595" s="4"/>
      <c r="B1595" s="5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5"/>
      <c r="P1595" s="4"/>
    </row>
    <row r="1596" spans="1:16">
      <c r="A1596" s="4"/>
      <c r="B1596" s="5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5"/>
      <c r="P1596" s="4"/>
    </row>
    <row r="1597" spans="1:16">
      <c r="A1597" s="4"/>
      <c r="B1597" s="5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5"/>
      <c r="P1597" s="4"/>
    </row>
    <row r="1598" spans="1:16">
      <c r="A1598" s="4"/>
      <c r="B1598" s="5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5"/>
      <c r="P1598" s="4"/>
    </row>
    <row r="1599" spans="1:16">
      <c r="A1599" s="4"/>
      <c r="B1599" s="5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5"/>
      <c r="P1599" s="4"/>
    </row>
    <row r="1600" spans="1:16">
      <c r="A1600" s="4"/>
      <c r="B1600" s="5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5"/>
      <c r="P1600" s="4"/>
    </row>
    <row r="1601" spans="1:16">
      <c r="A1601" s="4"/>
      <c r="B1601" s="5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5"/>
      <c r="P1601" s="4"/>
    </row>
    <row r="1602" spans="1:16">
      <c r="A1602" s="4"/>
      <c r="B1602" s="5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5"/>
      <c r="P1602" s="4"/>
    </row>
    <row r="1603" spans="1:16">
      <c r="A1603" s="4"/>
      <c r="B1603" s="5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5"/>
      <c r="P1603" s="4"/>
    </row>
    <row r="1604" spans="1:16">
      <c r="A1604" s="4"/>
      <c r="B1604" s="5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5"/>
      <c r="P1604" s="4"/>
    </row>
    <row r="1605" spans="1:16">
      <c r="A1605" s="4"/>
      <c r="B1605" s="5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5"/>
      <c r="P1605" s="4"/>
    </row>
    <row r="1606" spans="1:16">
      <c r="A1606" s="4"/>
      <c r="B1606" s="5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5"/>
      <c r="P1606" s="4"/>
    </row>
    <row r="1607" spans="1:16">
      <c r="A1607" s="4"/>
      <c r="B1607" s="5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5"/>
      <c r="P1607" s="4"/>
    </row>
    <row r="1608" spans="1:16">
      <c r="A1608" s="4"/>
      <c r="B1608" s="5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5"/>
      <c r="P1608" s="4"/>
    </row>
    <row r="1609" spans="1:16">
      <c r="A1609" s="4"/>
      <c r="B1609" s="5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5"/>
      <c r="P1609" s="4"/>
    </row>
    <row r="1610" spans="1:16">
      <c r="A1610" s="4"/>
      <c r="B1610" s="5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5"/>
      <c r="P1610" s="4"/>
    </row>
    <row r="1611" spans="1:16">
      <c r="A1611" s="4"/>
      <c r="B1611" s="5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5"/>
      <c r="P1611" s="4"/>
    </row>
    <row r="1612" spans="1:16">
      <c r="A1612" s="4"/>
      <c r="B1612" s="5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5"/>
      <c r="P1612" s="4"/>
    </row>
    <row r="1613" spans="1:16">
      <c r="A1613" s="4"/>
      <c r="B1613" s="5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5"/>
      <c r="P1613" s="4"/>
    </row>
    <row r="1614" spans="1:16">
      <c r="A1614" s="4"/>
      <c r="B1614" s="5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5"/>
      <c r="P1614" s="4"/>
    </row>
    <row r="1615" spans="1:16">
      <c r="A1615" s="4"/>
      <c r="B1615" s="5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5"/>
      <c r="P1615" s="4"/>
    </row>
    <row r="1616" spans="1:16">
      <c r="A1616" s="4"/>
      <c r="B1616" s="5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5"/>
      <c r="P1616" s="4"/>
    </row>
    <row r="1617" spans="1:16">
      <c r="A1617" s="4"/>
      <c r="B1617" s="5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5"/>
      <c r="P1617" s="4"/>
    </row>
    <row r="1618" spans="1:16">
      <c r="A1618" s="4"/>
      <c r="B1618" s="5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5"/>
      <c r="P1618" s="4"/>
    </row>
    <row r="1619" spans="1:16">
      <c r="A1619" s="4"/>
      <c r="B1619" s="5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5"/>
      <c r="P1619" s="4"/>
    </row>
    <row r="1620" spans="1:16">
      <c r="A1620" s="4"/>
      <c r="B1620" s="5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5"/>
      <c r="P1620" s="4"/>
    </row>
    <row r="1621" spans="1:16">
      <c r="A1621" s="4"/>
      <c r="B1621" s="5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5"/>
      <c r="P1621" s="4"/>
    </row>
    <row r="1622" spans="1:16">
      <c r="A1622" s="4"/>
      <c r="B1622" s="5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5"/>
      <c r="P1622" s="4"/>
    </row>
    <row r="1623" spans="1:16">
      <c r="A1623" s="4"/>
      <c r="B1623" s="5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5"/>
      <c r="P1623" s="4"/>
    </row>
    <row r="1624" spans="1:16">
      <c r="A1624" s="4"/>
      <c r="B1624" s="5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5"/>
      <c r="P1624" s="4"/>
    </row>
    <row r="1625" spans="1:16">
      <c r="A1625" s="4"/>
      <c r="B1625" s="5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5"/>
      <c r="P1625" s="4"/>
    </row>
    <row r="1626" spans="1:16">
      <c r="A1626" s="4"/>
      <c r="B1626" s="5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5"/>
      <c r="P1626" s="4"/>
    </row>
    <row r="1627" spans="1:16">
      <c r="A1627" s="4"/>
      <c r="B1627" s="5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5"/>
      <c r="P1627" s="4"/>
    </row>
    <row r="1628" spans="1:16">
      <c r="A1628" s="4"/>
      <c r="B1628" s="5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5"/>
      <c r="P1628" s="4"/>
    </row>
    <row r="1629" spans="1:16">
      <c r="A1629" s="4"/>
      <c r="B1629" s="5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5"/>
      <c r="P1629" s="4"/>
    </row>
    <row r="1630" spans="1:16">
      <c r="A1630" s="4"/>
      <c r="B1630" s="5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5"/>
      <c r="P1630" s="4"/>
    </row>
    <row r="1631" spans="1:16">
      <c r="A1631" s="4"/>
      <c r="B1631" s="5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5"/>
      <c r="P1631" s="4"/>
    </row>
    <row r="1632" spans="1:16">
      <c r="A1632" s="4"/>
      <c r="B1632" s="5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5"/>
      <c r="P1632" s="4"/>
    </row>
    <row r="1633" spans="1:16">
      <c r="A1633" s="4"/>
      <c r="B1633" s="5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5"/>
      <c r="P1633" s="4"/>
    </row>
    <row r="1634" spans="1:16">
      <c r="A1634" s="4"/>
      <c r="B1634" s="5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5"/>
      <c r="P1634" s="4"/>
    </row>
    <row r="1635" spans="1:16">
      <c r="A1635" s="4"/>
      <c r="B1635" s="5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5"/>
      <c r="P1635" s="4"/>
    </row>
    <row r="1636" spans="1:16">
      <c r="A1636" s="4"/>
      <c r="B1636" s="5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5"/>
      <c r="P1636" s="4"/>
    </row>
    <row r="1637" spans="1:16">
      <c r="A1637" s="4"/>
      <c r="B1637" s="5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5"/>
      <c r="P1637" s="4"/>
    </row>
    <row r="1638" spans="1:16">
      <c r="A1638" s="4"/>
      <c r="B1638" s="5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5"/>
      <c r="P1638" s="4"/>
    </row>
    <row r="1639" spans="1:16">
      <c r="A1639" s="4"/>
      <c r="B1639" s="5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5"/>
      <c r="P1639" s="4"/>
    </row>
    <row r="1640" spans="1:16">
      <c r="A1640" s="4"/>
      <c r="B1640" s="5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5"/>
      <c r="P1640" s="4"/>
    </row>
    <row r="1641" spans="1:16">
      <c r="A1641" s="4"/>
      <c r="B1641" s="5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5"/>
      <c r="P1641" s="4"/>
    </row>
    <row r="1642" spans="1:16">
      <c r="A1642" s="4"/>
      <c r="B1642" s="5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5"/>
      <c r="P1642" s="4"/>
    </row>
    <row r="1643" spans="1:16">
      <c r="A1643" s="4"/>
      <c r="B1643" s="5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5"/>
      <c r="P1643" s="4"/>
    </row>
    <row r="1644" spans="1:16">
      <c r="A1644" s="4"/>
      <c r="B1644" s="5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5"/>
      <c r="P1644" s="4"/>
    </row>
    <row r="1645" spans="1:16">
      <c r="A1645" s="4"/>
      <c r="B1645" s="5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5"/>
      <c r="P1645" s="4"/>
    </row>
    <row r="1646" spans="1:16">
      <c r="A1646" s="4"/>
      <c r="B1646" s="5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5"/>
      <c r="P1646" s="4"/>
    </row>
    <row r="1647" spans="1:16">
      <c r="A1647" s="4"/>
      <c r="B1647" s="5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5"/>
      <c r="P1647" s="4"/>
    </row>
    <row r="1648" spans="1:16">
      <c r="A1648" s="4"/>
      <c r="B1648" s="5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5"/>
      <c r="P1648" s="4"/>
    </row>
    <row r="1649" spans="1:16">
      <c r="A1649" s="4"/>
      <c r="B1649" s="5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5"/>
      <c r="P1649" s="4"/>
    </row>
    <row r="1650" spans="1:16">
      <c r="A1650" s="4"/>
      <c r="B1650" s="5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5"/>
      <c r="P1650" s="4"/>
    </row>
    <row r="1651" spans="1:16">
      <c r="A1651" s="4"/>
      <c r="B1651" s="5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5"/>
      <c r="P1651" s="4"/>
    </row>
    <row r="1652" spans="1:16">
      <c r="A1652" s="4"/>
      <c r="B1652" s="5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5"/>
      <c r="P1652" s="4"/>
    </row>
    <row r="1653" spans="1:16">
      <c r="A1653" s="4"/>
      <c r="B1653" s="5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5"/>
      <c r="P1653" s="4"/>
    </row>
    <row r="1654" spans="1:16">
      <c r="A1654" s="4"/>
      <c r="B1654" s="5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5"/>
      <c r="P1654" s="4"/>
    </row>
    <row r="1655" spans="1:16">
      <c r="A1655" s="4"/>
      <c r="B1655" s="5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5"/>
      <c r="P1655" s="4"/>
    </row>
    <row r="1656" spans="1:16">
      <c r="A1656" s="4"/>
      <c r="B1656" s="5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5"/>
      <c r="P1656" s="4"/>
    </row>
    <row r="1657" spans="1:16">
      <c r="A1657" s="4"/>
      <c r="B1657" s="5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5"/>
      <c r="P1657" s="4"/>
    </row>
    <row r="1658" spans="1:16">
      <c r="A1658" s="4"/>
      <c r="B1658" s="5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5"/>
      <c r="P1658" s="4"/>
    </row>
    <row r="1659" spans="1:16">
      <c r="A1659" s="4"/>
      <c r="B1659" s="5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5"/>
      <c r="P1659" s="4"/>
    </row>
    <row r="1660" spans="1:16">
      <c r="A1660" s="4"/>
      <c r="B1660" s="5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5"/>
      <c r="P1660" s="4"/>
    </row>
    <row r="1661" spans="1:16">
      <c r="A1661" s="4"/>
      <c r="B1661" s="5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5"/>
      <c r="P1661" s="4"/>
    </row>
    <row r="1662" spans="1:16">
      <c r="A1662" s="4"/>
      <c r="B1662" s="5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5"/>
      <c r="P1662" s="4"/>
    </row>
    <row r="1663" spans="1:16">
      <c r="A1663" s="4"/>
      <c r="B1663" s="5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5"/>
      <c r="P1663" s="4"/>
    </row>
    <row r="1664" spans="1:16">
      <c r="A1664" s="4"/>
      <c r="B1664" s="5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5"/>
      <c r="P1664" s="4"/>
    </row>
    <row r="1665" spans="1:16">
      <c r="A1665" s="4"/>
      <c r="B1665" s="5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5"/>
      <c r="P1665" s="4"/>
    </row>
    <row r="1666" spans="1:16">
      <c r="A1666" s="4"/>
      <c r="B1666" s="5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5"/>
      <c r="P1666" s="4"/>
    </row>
    <row r="1667" spans="1:16">
      <c r="A1667" s="4"/>
      <c r="B1667" s="5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5"/>
      <c r="P1667" s="4"/>
    </row>
    <row r="1668" spans="1:16">
      <c r="A1668" s="4"/>
      <c r="B1668" s="5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5"/>
      <c r="P1668" s="4"/>
    </row>
    <row r="1669" spans="1:16">
      <c r="A1669" s="4"/>
      <c r="B1669" s="5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5"/>
      <c r="P1669" s="4"/>
    </row>
    <row r="1670" spans="1:16">
      <c r="A1670" s="4"/>
      <c r="B1670" s="5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5"/>
      <c r="P1670" s="4"/>
    </row>
    <row r="1671" spans="1:16">
      <c r="A1671" s="4"/>
      <c r="B1671" s="5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5"/>
      <c r="P1671" s="4"/>
    </row>
    <row r="1672" spans="1:16">
      <c r="A1672" s="4"/>
      <c r="B1672" s="5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5"/>
      <c r="P1672" s="4"/>
    </row>
    <row r="1673" spans="1:16">
      <c r="A1673" s="4"/>
      <c r="B1673" s="5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5"/>
      <c r="P1673" s="4"/>
    </row>
    <row r="1674" spans="1:16">
      <c r="A1674" s="4"/>
      <c r="B1674" s="5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5"/>
      <c r="P1674" s="4"/>
    </row>
    <row r="1675" spans="1:16">
      <c r="A1675" s="4"/>
      <c r="B1675" s="5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5"/>
      <c r="P1675" s="4"/>
    </row>
    <row r="1676" spans="1:16">
      <c r="A1676" s="4"/>
      <c r="B1676" s="5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5"/>
      <c r="P1676" s="4"/>
    </row>
    <row r="1677" spans="1:16">
      <c r="A1677" s="4"/>
      <c r="B1677" s="5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5"/>
      <c r="P1677" s="4"/>
    </row>
    <row r="1678" spans="1:16">
      <c r="A1678" s="4"/>
      <c r="B1678" s="5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5"/>
      <c r="P1678" s="4"/>
    </row>
    <row r="1679" spans="1:16">
      <c r="A1679" s="4"/>
      <c r="B1679" s="5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5"/>
      <c r="P1679" s="4"/>
    </row>
    <row r="1680" spans="1:16">
      <c r="A1680" s="4"/>
      <c r="B1680" s="5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5"/>
      <c r="P1680" s="4"/>
    </row>
    <row r="1681" spans="1:16">
      <c r="A1681" s="4"/>
      <c r="B1681" s="5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5"/>
      <c r="P1681" s="4"/>
    </row>
    <row r="1682" spans="1:16">
      <c r="A1682" s="4"/>
      <c r="B1682" s="5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5"/>
      <c r="P1682" s="4"/>
    </row>
    <row r="1683" spans="1:16">
      <c r="A1683" s="4"/>
      <c r="B1683" s="5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5"/>
      <c r="P1683" s="4"/>
    </row>
    <row r="1684" spans="1:16">
      <c r="A1684" s="4"/>
      <c r="B1684" s="5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5"/>
      <c r="P1684" s="4"/>
    </row>
    <row r="1685" spans="1:16">
      <c r="A1685" s="4"/>
      <c r="B1685" s="5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5"/>
      <c r="P1685" s="4"/>
    </row>
    <row r="1686" spans="1:16">
      <c r="A1686" s="4"/>
      <c r="B1686" s="5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5"/>
      <c r="P1686" s="4"/>
    </row>
    <row r="1687" spans="1:16">
      <c r="A1687" s="4"/>
      <c r="B1687" s="5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5"/>
      <c r="P1687" s="4"/>
    </row>
    <row r="1688" spans="1:16">
      <c r="A1688" s="4"/>
      <c r="B1688" s="5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5"/>
      <c r="P1688" s="4"/>
    </row>
    <row r="1689" spans="1:16">
      <c r="A1689" s="4"/>
      <c r="B1689" s="5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5"/>
      <c r="P1689" s="4"/>
    </row>
    <row r="1690" spans="1:16">
      <c r="A1690" s="4"/>
      <c r="B1690" s="5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5"/>
      <c r="P1690" s="4"/>
    </row>
    <row r="1691" spans="1:16">
      <c r="A1691" s="4"/>
      <c r="B1691" s="5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5"/>
      <c r="P1691" s="4"/>
    </row>
    <row r="1692" spans="1:16">
      <c r="A1692" s="4"/>
      <c r="B1692" s="5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5"/>
      <c r="P1692" s="4"/>
    </row>
    <row r="1693" spans="1:16">
      <c r="A1693" s="4"/>
      <c r="B1693" s="5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5"/>
      <c r="P1693" s="4"/>
    </row>
    <row r="1694" spans="1:16">
      <c r="A1694" s="4"/>
      <c r="B1694" s="5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5"/>
      <c r="P1694" s="4"/>
    </row>
    <row r="1695" spans="1:16">
      <c r="A1695" s="4"/>
      <c r="B1695" s="5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5"/>
      <c r="P1695" s="4"/>
    </row>
    <row r="1696" spans="1:16">
      <c r="A1696" s="4"/>
      <c r="B1696" s="5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5"/>
      <c r="P1696" s="4"/>
    </row>
    <row r="1697" spans="1:16">
      <c r="A1697" s="4"/>
      <c r="B1697" s="5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5"/>
      <c r="P1697" s="4"/>
    </row>
    <row r="1698" spans="1:16">
      <c r="A1698" s="4"/>
      <c r="B1698" s="5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5"/>
      <c r="P1698" s="4"/>
    </row>
    <row r="1699" spans="1:16">
      <c r="A1699" s="4"/>
      <c r="B1699" s="5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5"/>
      <c r="P1699" s="4"/>
    </row>
    <row r="1700" spans="1:16">
      <c r="A1700" s="4"/>
      <c r="B1700" s="5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5"/>
      <c r="P1700" s="4"/>
    </row>
    <row r="1701" spans="1:16">
      <c r="A1701" s="4"/>
      <c r="B1701" s="5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5"/>
      <c r="P1701" s="4"/>
    </row>
    <row r="1702" spans="1:16">
      <c r="A1702" s="4"/>
      <c r="B1702" s="5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5"/>
      <c r="P1702" s="4"/>
    </row>
    <row r="1703" spans="1:16">
      <c r="A1703" s="4"/>
      <c r="B1703" s="5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5"/>
      <c r="P1703" s="4"/>
    </row>
    <row r="1704" spans="1:16">
      <c r="A1704" s="4"/>
      <c r="B1704" s="5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5"/>
      <c r="P1704" s="4"/>
    </row>
    <row r="1705" spans="1:16">
      <c r="A1705" s="4"/>
      <c r="B1705" s="5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5"/>
      <c r="P1705" s="4"/>
    </row>
    <row r="1706" spans="1:16">
      <c r="A1706" s="4"/>
      <c r="B1706" s="5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5"/>
      <c r="P1706" s="4"/>
    </row>
    <row r="1707" spans="1:16">
      <c r="A1707" s="4"/>
      <c r="B1707" s="5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5"/>
      <c r="P1707" s="4"/>
    </row>
    <row r="1708" spans="1:16">
      <c r="A1708" s="4"/>
      <c r="B1708" s="5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5"/>
      <c r="P1708" s="4"/>
    </row>
    <row r="1709" spans="1:16">
      <c r="A1709" s="4"/>
      <c r="B1709" s="5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5"/>
      <c r="P1709" s="4"/>
    </row>
    <row r="1710" spans="1:16">
      <c r="A1710" s="4"/>
      <c r="B1710" s="5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5"/>
      <c r="P1710" s="4"/>
    </row>
    <row r="1711" spans="1:16">
      <c r="A1711" s="4"/>
      <c r="B1711" s="5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5"/>
      <c r="P1711" s="4"/>
    </row>
    <row r="1712" spans="1:16">
      <c r="A1712" s="4"/>
      <c r="B1712" s="5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5"/>
      <c r="P1712" s="4"/>
    </row>
    <row r="1713" spans="1:16">
      <c r="A1713" s="4"/>
      <c r="B1713" s="5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5"/>
      <c r="P1713" s="4"/>
    </row>
    <row r="1714" spans="1:16">
      <c r="A1714" s="4"/>
      <c r="B1714" s="5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5"/>
      <c r="P1714" s="4"/>
    </row>
    <row r="1715" spans="1:16">
      <c r="A1715" s="4"/>
      <c r="B1715" s="5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5"/>
      <c r="P1715" s="4"/>
    </row>
    <row r="1716" spans="1:16">
      <c r="A1716" s="4"/>
      <c r="B1716" s="5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5"/>
      <c r="P1716" s="4"/>
    </row>
    <row r="1717" spans="1:16">
      <c r="A1717" s="4"/>
      <c r="B1717" s="5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5"/>
      <c r="P1717" s="4"/>
    </row>
    <row r="1718" spans="1:16">
      <c r="A1718" s="4"/>
      <c r="B1718" s="5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5"/>
      <c r="P1718" s="4"/>
    </row>
    <row r="1719" spans="1:16">
      <c r="A1719" s="4"/>
      <c r="B1719" s="5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5"/>
      <c r="P1719" s="4"/>
    </row>
    <row r="1720" spans="1:16">
      <c r="A1720" s="4"/>
      <c r="B1720" s="5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5"/>
      <c r="P1720" s="4"/>
    </row>
    <row r="1721" spans="1:16">
      <c r="A1721" s="4"/>
      <c r="B1721" s="5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5"/>
      <c r="P1721" s="4"/>
    </row>
    <row r="1722" spans="1:16">
      <c r="A1722" s="4"/>
      <c r="B1722" s="5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5"/>
      <c r="P1722" s="4"/>
    </row>
    <row r="1723" spans="1:16">
      <c r="A1723" s="4"/>
      <c r="B1723" s="5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5"/>
      <c r="P1723" s="4"/>
    </row>
    <row r="1724" spans="1:16">
      <c r="A1724" s="4"/>
      <c r="B1724" s="5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5"/>
      <c r="P1724" s="4"/>
    </row>
    <row r="1725" spans="1:16">
      <c r="A1725" s="4"/>
      <c r="B1725" s="5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5"/>
      <c r="P1725" s="4"/>
    </row>
    <row r="1726" spans="1:16">
      <c r="A1726" s="4"/>
      <c r="B1726" s="5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5"/>
      <c r="P1726" s="4"/>
    </row>
    <row r="1727" spans="1:16">
      <c r="A1727" s="4"/>
      <c r="B1727" s="5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5"/>
      <c r="P1727" s="4"/>
    </row>
    <row r="1728" spans="1:16">
      <c r="A1728" s="4"/>
      <c r="B1728" s="5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5"/>
      <c r="P1728" s="4"/>
    </row>
    <row r="1729" spans="1:16">
      <c r="A1729" s="4"/>
      <c r="B1729" s="5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5"/>
      <c r="P1729" s="4"/>
    </row>
    <row r="1730" spans="1:16">
      <c r="A1730" s="4"/>
      <c r="B1730" s="5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5"/>
      <c r="P1730" s="4"/>
    </row>
    <row r="1731" spans="1:16">
      <c r="A1731" s="4"/>
      <c r="B1731" s="5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5"/>
      <c r="P1731" s="4"/>
    </row>
    <row r="1732" spans="1:16">
      <c r="A1732" s="4"/>
      <c r="B1732" s="5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5"/>
      <c r="P1732" s="4"/>
    </row>
    <row r="1733" spans="1:16">
      <c r="A1733" s="4"/>
      <c r="B1733" s="5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5"/>
      <c r="P1733" s="4"/>
    </row>
    <row r="1734" spans="1:16">
      <c r="A1734" s="4"/>
      <c r="B1734" s="5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5"/>
      <c r="P1734" s="4"/>
    </row>
    <row r="1735" spans="1:16">
      <c r="A1735" s="4"/>
      <c r="B1735" s="5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5"/>
      <c r="P1735" s="4"/>
    </row>
    <row r="1736" spans="1:16">
      <c r="A1736" s="4"/>
      <c r="B1736" s="5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5"/>
      <c r="P1736" s="4"/>
    </row>
    <row r="1737" spans="1:16">
      <c r="A1737" s="4"/>
      <c r="B1737" s="5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5"/>
      <c r="P1737" s="4"/>
    </row>
    <row r="1738" spans="1:16">
      <c r="A1738" s="4"/>
      <c r="B1738" s="5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5"/>
      <c r="P1738" s="4"/>
    </row>
    <row r="1739" spans="1:16">
      <c r="A1739" s="4"/>
      <c r="B1739" s="5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5"/>
      <c r="P1739" s="4"/>
    </row>
    <row r="1740" spans="1:16">
      <c r="A1740" s="4"/>
      <c r="B1740" s="5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5"/>
      <c r="P1740" s="4"/>
    </row>
    <row r="1741" spans="1:16">
      <c r="A1741" s="4"/>
      <c r="B1741" s="5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5"/>
      <c r="P1741" s="4"/>
    </row>
    <row r="1742" spans="1:16">
      <c r="A1742" s="4"/>
      <c r="B1742" s="5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5"/>
      <c r="P1742" s="4"/>
    </row>
    <row r="1743" spans="1:16">
      <c r="A1743" s="4"/>
      <c r="B1743" s="5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5"/>
      <c r="P1743" s="4"/>
    </row>
    <row r="1744" spans="1:16">
      <c r="A1744" s="4"/>
      <c r="B1744" s="5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5"/>
      <c r="P1744" s="4"/>
    </row>
    <row r="1745" spans="1:16">
      <c r="A1745" s="4"/>
      <c r="B1745" s="5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5"/>
      <c r="P1745" s="4"/>
    </row>
    <row r="1746" spans="1:16">
      <c r="A1746" s="4"/>
      <c r="B1746" s="5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5"/>
      <c r="P1746" s="4"/>
    </row>
    <row r="1747" spans="1:16">
      <c r="A1747" s="4"/>
      <c r="B1747" s="5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5"/>
      <c r="P1747" s="4"/>
    </row>
    <row r="1748" spans="1:16">
      <c r="A1748" s="4"/>
      <c r="B1748" s="5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5"/>
      <c r="P1748" s="4"/>
    </row>
    <row r="1749" spans="1:16">
      <c r="A1749" s="4"/>
      <c r="B1749" s="5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5"/>
      <c r="P1749" s="4"/>
    </row>
    <row r="1750" spans="1:16">
      <c r="A1750" s="4"/>
      <c r="B1750" s="5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5"/>
      <c r="P1750" s="4"/>
    </row>
    <row r="1751" spans="1:16">
      <c r="A1751" s="4"/>
      <c r="B1751" s="5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5"/>
      <c r="P1751" s="4"/>
    </row>
    <row r="1752" spans="1:16">
      <c r="A1752" s="4"/>
      <c r="B1752" s="5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5"/>
      <c r="P1752" s="4"/>
    </row>
    <row r="1753" spans="1:16">
      <c r="A1753" s="4"/>
      <c r="B1753" s="5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5"/>
      <c r="P1753" s="4"/>
    </row>
    <row r="1754" spans="1:16">
      <c r="A1754" s="4"/>
      <c r="B1754" s="5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5"/>
      <c r="P1754" s="4"/>
    </row>
    <row r="1755" spans="1:16">
      <c r="A1755" s="4"/>
      <c r="B1755" s="5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5"/>
      <c r="P1755" s="4"/>
    </row>
    <row r="1756" spans="1:16">
      <c r="A1756" s="4"/>
      <c r="B1756" s="5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5"/>
      <c r="P1756" s="4"/>
    </row>
    <row r="1757" spans="1:16">
      <c r="A1757" s="4"/>
      <c r="B1757" s="5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5"/>
      <c r="P1757" s="4"/>
    </row>
    <row r="1758" spans="1:16">
      <c r="A1758" s="4"/>
      <c r="B1758" s="5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5"/>
      <c r="P1758" s="4"/>
    </row>
    <row r="1759" spans="1:16">
      <c r="A1759" s="4"/>
      <c r="B1759" s="5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5"/>
      <c r="P1759" s="4"/>
    </row>
    <row r="1760" spans="1:16">
      <c r="A1760" s="4"/>
      <c r="B1760" s="5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5"/>
      <c r="P1760" s="4"/>
    </row>
    <row r="1761" spans="1:16">
      <c r="A1761" s="4"/>
      <c r="B1761" s="5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5"/>
      <c r="P1761" s="4"/>
    </row>
    <row r="1762" spans="1:16">
      <c r="A1762" s="4"/>
      <c r="B1762" s="5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5"/>
      <c r="P1762" s="4"/>
    </row>
    <row r="1763" spans="1:16">
      <c r="A1763" s="4"/>
      <c r="B1763" s="5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5"/>
      <c r="P1763" s="4"/>
    </row>
    <row r="1764" spans="1:16">
      <c r="A1764" s="4"/>
      <c r="B1764" s="5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5"/>
      <c r="P1764" s="4"/>
    </row>
    <row r="1765" spans="1:16">
      <c r="A1765" s="4"/>
      <c r="B1765" s="5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5"/>
      <c r="P1765" s="4"/>
    </row>
    <row r="1766" spans="1:16">
      <c r="A1766" s="4"/>
      <c r="B1766" s="5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5"/>
      <c r="P1766" s="4"/>
    </row>
    <row r="1767" spans="1:16">
      <c r="A1767" s="4"/>
      <c r="B1767" s="5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5"/>
      <c r="P1767" s="4"/>
    </row>
    <row r="1768" spans="1:16">
      <c r="A1768" s="4"/>
      <c r="B1768" s="5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5"/>
      <c r="P1768" s="4"/>
    </row>
    <row r="1769" spans="1:16">
      <c r="A1769" s="4"/>
      <c r="B1769" s="5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5"/>
      <c r="P1769" s="4"/>
    </row>
    <row r="1770" spans="1:16">
      <c r="A1770" s="4"/>
      <c r="B1770" s="5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5"/>
      <c r="P1770" s="4"/>
    </row>
    <row r="1771" spans="1:16">
      <c r="A1771" s="4"/>
      <c r="B1771" s="5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5"/>
      <c r="P1771" s="4"/>
    </row>
    <row r="1772" spans="1:16">
      <c r="A1772" s="4"/>
      <c r="B1772" s="5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5"/>
      <c r="P1772" s="4"/>
    </row>
    <row r="1773" spans="1:16">
      <c r="A1773" s="4"/>
      <c r="B1773" s="5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5"/>
      <c r="P1773" s="4"/>
    </row>
    <row r="1774" spans="1:16">
      <c r="A1774" s="4"/>
      <c r="B1774" s="5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5"/>
      <c r="P1774" s="4"/>
    </row>
    <row r="1775" spans="1:16">
      <c r="A1775" s="4"/>
      <c r="B1775" s="5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5"/>
      <c r="P1775" s="4"/>
    </row>
    <row r="1776" spans="1:16">
      <c r="A1776" s="4"/>
      <c r="B1776" s="5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5"/>
      <c r="P1776" s="4"/>
    </row>
    <row r="1777" spans="1:16">
      <c r="A1777" s="4"/>
      <c r="B1777" s="5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5"/>
      <c r="P1777" s="4"/>
    </row>
    <row r="1778" spans="1:16">
      <c r="A1778" s="4"/>
      <c r="B1778" s="5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5"/>
      <c r="P1778" s="4"/>
    </row>
    <row r="1779" spans="1:16">
      <c r="A1779" s="4"/>
      <c r="B1779" s="5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5"/>
      <c r="P1779" s="4"/>
    </row>
    <row r="1780" spans="1:16">
      <c r="A1780" s="4"/>
      <c r="B1780" s="5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5"/>
      <c r="P1780" s="4"/>
    </row>
    <row r="1781" spans="1:16">
      <c r="A1781" s="4"/>
      <c r="B1781" s="5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5"/>
      <c r="P1781" s="4"/>
    </row>
    <row r="1782" spans="1:16">
      <c r="A1782" s="4"/>
      <c r="B1782" s="5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5"/>
      <c r="P1782" s="4"/>
    </row>
    <row r="1783" spans="1:16">
      <c r="A1783" s="4"/>
      <c r="B1783" s="5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5"/>
      <c r="P1783" s="4"/>
    </row>
    <row r="1784" spans="1:16">
      <c r="A1784" s="4"/>
      <c r="B1784" s="5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5"/>
      <c r="P1784" s="4"/>
    </row>
    <row r="1785" spans="1:16">
      <c r="A1785" s="4"/>
      <c r="B1785" s="5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5"/>
      <c r="P1785" s="4"/>
    </row>
    <row r="1786" spans="1:16">
      <c r="A1786" s="4"/>
      <c r="B1786" s="5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5"/>
      <c r="P1786" s="4"/>
    </row>
    <row r="1787" spans="1:16">
      <c r="A1787" s="4"/>
      <c r="B1787" s="5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5"/>
      <c r="P1787" s="4"/>
    </row>
    <row r="1788" spans="1:16">
      <c r="A1788" s="4"/>
      <c r="B1788" s="5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5"/>
      <c r="P1788" s="4"/>
    </row>
    <row r="1789" spans="1:16">
      <c r="A1789" s="4"/>
      <c r="B1789" s="5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5"/>
      <c r="P1789" s="4"/>
    </row>
    <row r="1790" spans="1:16">
      <c r="A1790" s="4"/>
      <c r="B1790" s="5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5"/>
      <c r="P1790" s="4"/>
    </row>
    <row r="1791" spans="1:16">
      <c r="A1791" s="4"/>
      <c r="B1791" s="5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5"/>
      <c r="P1791" s="4"/>
    </row>
    <row r="1792" spans="1:16">
      <c r="A1792" s="4"/>
      <c r="B1792" s="5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5"/>
      <c r="P1792" s="4"/>
    </row>
    <row r="1793" spans="1:16">
      <c r="A1793" s="4"/>
      <c r="B1793" s="5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5"/>
      <c r="P1793" s="4"/>
    </row>
    <row r="1794" spans="1:16">
      <c r="A1794" s="4"/>
      <c r="B1794" s="5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5"/>
      <c r="P1794" s="4"/>
    </row>
    <row r="1795" spans="1:16">
      <c r="A1795" s="4"/>
      <c r="B1795" s="5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5"/>
      <c r="P1795" s="4"/>
    </row>
    <row r="1796" spans="1:16">
      <c r="A1796" s="4"/>
      <c r="B1796" s="5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5"/>
      <c r="P1796" s="4"/>
    </row>
    <row r="1797" spans="1:16">
      <c r="A1797" s="4"/>
      <c r="B1797" s="5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5"/>
      <c r="P1797" s="4"/>
    </row>
    <row r="1798" spans="1:16">
      <c r="A1798" s="4"/>
      <c r="B1798" s="5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5"/>
      <c r="P1798" s="4"/>
    </row>
    <row r="1799" spans="1:16">
      <c r="A1799" s="4"/>
      <c r="B1799" s="5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5"/>
      <c r="P1799" s="4"/>
    </row>
    <row r="1800" spans="1:16">
      <c r="A1800" s="4"/>
      <c r="B1800" s="5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5"/>
      <c r="P1800" s="4"/>
    </row>
    <row r="1801" spans="1:16">
      <c r="A1801" s="4"/>
      <c r="B1801" s="5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5"/>
      <c r="P1801" s="4"/>
    </row>
    <row r="1802" spans="1:16">
      <c r="A1802" s="4"/>
      <c r="B1802" s="5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5"/>
      <c r="P1802" s="4"/>
    </row>
    <row r="1803" spans="1:16">
      <c r="A1803" s="4"/>
      <c r="B1803" s="5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5"/>
      <c r="P1803" s="4"/>
    </row>
    <row r="1804" spans="1:16">
      <c r="A1804" s="4"/>
      <c r="B1804" s="5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5"/>
      <c r="P1804" s="4"/>
    </row>
    <row r="1805" spans="1:16">
      <c r="A1805" s="4"/>
      <c r="B1805" s="5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5"/>
      <c r="P1805" s="4"/>
    </row>
    <row r="1806" spans="1:16">
      <c r="A1806" s="4"/>
      <c r="B1806" s="5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5"/>
      <c r="P1806" s="4"/>
    </row>
    <row r="1807" spans="1:16">
      <c r="A1807" s="4"/>
      <c r="B1807" s="5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5"/>
      <c r="P1807" s="4"/>
    </row>
    <row r="1808" spans="1:16">
      <c r="A1808" s="4"/>
      <c r="B1808" s="5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5"/>
      <c r="P1808" s="4"/>
    </row>
    <row r="1809" spans="1:16">
      <c r="A1809" s="4"/>
      <c r="B1809" s="5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5"/>
      <c r="P1809" s="4"/>
    </row>
    <row r="1810" spans="1:16">
      <c r="A1810" s="4"/>
      <c r="B1810" s="5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5"/>
      <c r="P1810" s="4"/>
    </row>
    <row r="1811" spans="1:16">
      <c r="A1811" s="4"/>
      <c r="B1811" s="5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5"/>
      <c r="P1811" s="4"/>
    </row>
    <row r="1812" spans="1:16">
      <c r="A1812" s="4"/>
      <c r="B1812" s="5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5"/>
      <c r="P1812" s="4"/>
    </row>
    <row r="1813" spans="1:16">
      <c r="A1813" s="4"/>
      <c r="B1813" s="5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5"/>
      <c r="P1813" s="4"/>
    </row>
    <row r="1814" spans="1:16">
      <c r="A1814" s="4"/>
      <c r="B1814" s="5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5"/>
      <c r="P1814" s="4"/>
    </row>
    <row r="1815" spans="1:16">
      <c r="A1815" s="4"/>
      <c r="B1815" s="5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5"/>
      <c r="P1815" s="4"/>
    </row>
    <row r="1816" spans="1:16">
      <c r="A1816" s="4"/>
      <c r="B1816" s="5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5"/>
      <c r="P1816" s="4"/>
    </row>
    <row r="1817" spans="1:16">
      <c r="A1817" s="4"/>
      <c r="B1817" s="5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5"/>
      <c r="P1817" s="4"/>
    </row>
    <row r="1818" spans="1:16">
      <c r="A1818" s="4"/>
      <c r="B1818" s="5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5"/>
      <c r="P1818" s="4"/>
    </row>
    <row r="1819" spans="1:16">
      <c r="A1819" s="4"/>
      <c r="B1819" s="5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5"/>
      <c r="P1819" s="4"/>
    </row>
    <row r="1820" spans="1:16">
      <c r="A1820" s="4"/>
      <c r="B1820" s="5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5"/>
      <c r="P1820" s="4"/>
    </row>
    <row r="1821" spans="1:16">
      <c r="A1821" s="4"/>
      <c r="B1821" s="5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5"/>
      <c r="P1821" s="4"/>
    </row>
    <row r="1822" spans="1:16">
      <c r="A1822" s="4"/>
      <c r="B1822" s="5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5"/>
      <c r="P1822" s="4"/>
    </row>
    <row r="1823" spans="1:16">
      <c r="A1823" s="4"/>
      <c r="B1823" s="5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5"/>
      <c r="P1823" s="4"/>
    </row>
    <row r="1824" spans="1:16">
      <c r="A1824" s="4"/>
      <c r="B1824" s="5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5"/>
      <c r="P1824" s="4"/>
    </row>
    <row r="1825" spans="1:16">
      <c r="A1825" s="4"/>
      <c r="B1825" s="5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5"/>
      <c r="P1825" s="4"/>
    </row>
    <row r="1826" spans="1:16">
      <c r="A1826" s="4"/>
      <c r="B1826" s="5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5"/>
      <c r="P1826" s="4"/>
    </row>
    <row r="1827" spans="1:16">
      <c r="A1827" s="4"/>
      <c r="B1827" s="5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5"/>
      <c r="P1827" s="4"/>
    </row>
    <row r="1828" spans="1:16">
      <c r="A1828" s="4"/>
      <c r="B1828" s="5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5"/>
      <c r="P1828" s="4"/>
    </row>
    <row r="1829" spans="1:16">
      <c r="A1829" s="4"/>
      <c r="B1829" s="5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5"/>
      <c r="P1829" s="4"/>
    </row>
    <row r="1830" spans="1:16">
      <c r="A1830" s="4"/>
      <c r="B1830" s="5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5"/>
      <c r="P1830" s="4"/>
    </row>
    <row r="1831" spans="1:16">
      <c r="A1831" s="4"/>
      <c r="B1831" s="5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5"/>
      <c r="P1831" s="4"/>
    </row>
    <row r="1832" spans="1:16">
      <c r="A1832" s="4"/>
      <c r="B1832" s="5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5"/>
      <c r="P1832" s="4"/>
    </row>
    <row r="1833" spans="1:16">
      <c r="A1833" s="4"/>
      <c r="B1833" s="5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5"/>
      <c r="P1833" s="4"/>
    </row>
    <row r="1834" spans="1:16">
      <c r="A1834" s="4"/>
      <c r="B1834" s="5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5"/>
      <c r="P1834" s="4"/>
    </row>
    <row r="1835" spans="1:16">
      <c r="A1835" s="4"/>
      <c r="B1835" s="5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5"/>
      <c r="P1835" s="4"/>
    </row>
    <row r="1836" spans="1:16">
      <c r="A1836" s="4"/>
      <c r="B1836" s="5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5"/>
      <c r="P1836" s="4"/>
    </row>
    <row r="1837" spans="1:16">
      <c r="A1837" s="4"/>
      <c r="B1837" s="5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5"/>
      <c r="P1837" s="4"/>
    </row>
    <row r="1838" spans="1:16">
      <c r="A1838" s="4"/>
      <c r="B1838" s="5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5"/>
      <c r="P1838" s="4"/>
    </row>
    <row r="1839" spans="1:16">
      <c r="A1839" s="4"/>
      <c r="B1839" s="5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5"/>
      <c r="P1839" s="4"/>
    </row>
    <row r="1840" spans="1:16">
      <c r="A1840" s="4"/>
      <c r="B1840" s="5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5"/>
      <c r="P1840" s="4"/>
    </row>
    <row r="1841" spans="1:16">
      <c r="A1841" s="4"/>
      <c r="B1841" s="5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5"/>
      <c r="P1841" s="4"/>
    </row>
    <row r="1842" spans="1:16">
      <c r="A1842" s="4"/>
      <c r="B1842" s="5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5"/>
      <c r="P1842" s="4"/>
    </row>
    <row r="1843" spans="1:16">
      <c r="A1843" s="4"/>
      <c r="B1843" s="5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5"/>
      <c r="P1843" s="4"/>
    </row>
    <row r="1844" spans="1:16">
      <c r="A1844" s="4"/>
      <c r="B1844" s="5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5"/>
      <c r="P1844" s="4"/>
    </row>
    <row r="1845" spans="1:16">
      <c r="A1845" s="4"/>
      <c r="B1845" s="5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5"/>
      <c r="P1845" s="4"/>
    </row>
    <row r="1846" spans="1:16">
      <c r="A1846" s="4"/>
      <c r="B1846" s="5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5"/>
      <c r="P1846" s="4"/>
    </row>
    <row r="1847" spans="1:16">
      <c r="A1847" s="4"/>
      <c r="B1847" s="5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5"/>
      <c r="P1847" s="4"/>
    </row>
    <row r="1848" spans="1:16">
      <c r="A1848" s="4"/>
      <c r="B1848" s="5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5"/>
      <c r="P1848" s="4"/>
    </row>
    <row r="1849" spans="1:16">
      <c r="A1849" s="4"/>
      <c r="B1849" s="5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5"/>
      <c r="P1849" s="4"/>
    </row>
    <row r="1850" spans="1:16">
      <c r="A1850" s="4"/>
      <c r="B1850" s="5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5"/>
      <c r="P1850" s="4"/>
    </row>
    <row r="1851" spans="1:16">
      <c r="A1851" s="4"/>
      <c r="B1851" s="5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5"/>
      <c r="P1851" s="4"/>
    </row>
    <row r="1852" spans="1:16">
      <c r="A1852" s="4"/>
      <c r="B1852" s="5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5"/>
      <c r="P1852" s="4"/>
    </row>
    <row r="1853" spans="1:16">
      <c r="A1853" s="4"/>
      <c r="B1853" s="5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5"/>
      <c r="P1853" s="4"/>
    </row>
    <row r="1854" spans="1:16">
      <c r="A1854" s="4"/>
      <c r="B1854" s="5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5"/>
      <c r="P1854" s="4"/>
    </row>
    <row r="1855" spans="1:16">
      <c r="A1855" s="4"/>
      <c r="B1855" s="5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5"/>
      <c r="P1855" s="4"/>
    </row>
    <row r="1856" spans="1:16">
      <c r="A1856" s="4"/>
      <c r="B1856" s="5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5"/>
      <c r="P1856" s="4"/>
    </row>
    <row r="1857" spans="1:16">
      <c r="A1857" s="4"/>
      <c r="B1857" s="5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5"/>
      <c r="P1857" s="4"/>
    </row>
    <row r="1858" spans="1:16">
      <c r="A1858" s="4"/>
      <c r="B1858" s="5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5"/>
      <c r="P1858" s="4"/>
    </row>
    <row r="1859" spans="1:16">
      <c r="A1859" s="4"/>
      <c r="B1859" s="5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5"/>
      <c r="P1859" s="4"/>
    </row>
    <row r="1860" spans="1:16">
      <c r="A1860" s="4"/>
      <c r="B1860" s="5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5"/>
      <c r="P1860" s="4"/>
    </row>
    <row r="1861" spans="1:16">
      <c r="A1861" s="4"/>
      <c r="B1861" s="5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5"/>
      <c r="P1861" s="4"/>
    </row>
    <row r="1862" spans="1:16">
      <c r="A1862" s="4"/>
      <c r="B1862" s="5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5"/>
      <c r="P1862" s="4"/>
    </row>
    <row r="1863" spans="1:16">
      <c r="A1863" s="4"/>
      <c r="B1863" s="5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5"/>
      <c r="P1863" s="4"/>
    </row>
    <row r="1864" spans="1:16">
      <c r="A1864" s="4"/>
      <c r="B1864" s="5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5"/>
      <c r="P1864" s="4"/>
    </row>
    <row r="1865" spans="1:16">
      <c r="A1865" s="4"/>
      <c r="B1865" s="5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5"/>
      <c r="P1865" s="4"/>
    </row>
    <row r="1866" spans="1:16">
      <c r="A1866" s="4"/>
      <c r="B1866" s="5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5"/>
      <c r="P1866" s="4"/>
    </row>
    <row r="1867" spans="1:16">
      <c r="A1867" s="4"/>
      <c r="B1867" s="5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5"/>
      <c r="P1867" s="4"/>
    </row>
    <row r="1868" spans="1:16">
      <c r="A1868" s="4"/>
      <c r="B1868" s="5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5"/>
      <c r="P1868" s="4"/>
    </row>
    <row r="1869" spans="1:16">
      <c r="A1869" s="4"/>
      <c r="B1869" s="5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5"/>
      <c r="P1869" s="4"/>
    </row>
    <row r="1870" spans="1:16">
      <c r="A1870" s="4"/>
      <c r="B1870" s="5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5"/>
      <c r="P1870" s="4"/>
    </row>
    <row r="1871" spans="1:16">
      <c r="A1871" s="4"/>
      <c r="B1871" s="5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5"/>
      <c r="P1871" s="4"/>
    </row>
    <row r="1872" spans="1:16">
      <c r="A1872" s="4"/>
      <c r="B1872" s="5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5"/>
      <c r="P1872" s="4"/>
    </row>
    <row r="1873" spans="1:16">
      <c r="A1873" s="4"/>
      <c r="B1873" s="5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5"/>
      <c r="P1873" s="4"/>
    </row>
    <row r="1874" spans="1:16">
      <c r="A1874" s="4"/>
      <c r="B1874" s="5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5"/>
      <c r="P1874" s="4"/>
    </row>
    <row r="1875" spans="1:16">
      <c r="A1875" s="4"/>
      <c r="B1875" s="5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5"/>
      <c r="P1875" s="4"/>
    </row>
    <row r="1876" spans="1:16">
      <c r="A1876" s="4"/>
      <c r="B1876" s="5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5"/>
      <c r="P1876" s="4"/>
    </row>
    <row r="1877" spans="1:16">
      <c r="A1877" s="4"/>
      <c r="B1877" s="5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5"/>
      <c r="P1877" s="4"/>
    </row>
    <row r="1878" spans="1:16">
      <c r="A1878" s="4"/>
      <c r="B1878" s="5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5"/>
      <c r="P1878" s="4"/>
    </row>
    <row r="1879" spans="1:16">
      <c r="A1879" s="4"/>
      <c r="B1879" s="5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5"/>
      <c r="P1879" s="4"/>
    </row>
    <row r="1880" spans="1:16">
      <c r="A1880" s="4"/>
      <c r="B1880" s="5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5"/>
      <c r="P1880" s="4"/>
    </row>
    <row r="1881" spans="1:16">
      <c r="A1881" s="4"/>
      <c r="B1881" s="5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5"/>
      <c r="P1881" s="4"/>
    </row>
    <row r="1882" spans="1:16">
      <c r="A1882" s="4"/>
      <c r="B1882" s="5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5"/>
      <c r="P1882" s="4"/>
    </row>
    <row r="1883" spans="1:16">
      <c r="A1883" s="4"/>
      <c r="B1883" s="5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5"/>
      <c r="P1883" s="4"/>
    </row>
    <row r="1884" spans="1:16">
      <c r="A1884" s="4"/>
      <c r="B1884" s="5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5"/>
      <c r="P1884" s="4"/>
    </row>
    <row r="1885" spans="1:16">
      <c r="A1885" s="4"/>
      <c r="B1885" s="5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5"/>
      <c r="P1885" s="4"/>
    </row>
    <row r="1886" spans="1:16">
      <c r="A1886" s="4"/>
      <c r="B1886" s="5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5"/>
      <c r="P1886" s="4"/>
    </row>
    <row r="1887" spans="1:16">
      <c r="A1887" s="4"/>
      <c r="B1887" s="5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5"/>
      <c r="P1887" s="4"/>
    </row>
    <row r="1888" spans="1:16">
      <c r="A1888" s="4"/>
      <c r="B1888" s="5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5"/>
      <c r="P1888" s="4"/>
    </row>
    <row r="1889" spans="1:16">
      <c r="A1889" s="4"/>
      <c r="B1889" s="5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5"/>
      <c r="P1889" s="4"/>
    </row>
    <row r="1890" spans="1:16">
      <c r="A1890" s="4"/>
      <c r="B1890" s="5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5"/>
      <c r="P1890" s="4"/>
    </row>
    <row r="1891" spans="1:16">
      <c r="A1891" s="4"/>
      <c r="B1891" s="5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5"/>
      <c r="P1891" s="4"/>
    </row>
    <row r="1892" spans="1:16">
      <c r="A1892" s="4"/>
      <c r="B1892" s="5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5"/>
      <c r="P1892" s="4"/>
    </row>
    <row r="1893" spans="1:16">
      <c r="A1893" s="4"/>
      <c r="B1893" s="5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5"/>
      <c r="P1893" s="4"/>
    </row>
  </sheetData>
  <sheetProtection password="C6AC" sheet="1" objects="1" scenarios="1" autoFilter="0"/>
  <autoFilter ref="A1:R197"/>
  <sortState ref="A2:P184">
    <sortCondition ref="A2:A184"/>
  </sortState>
  <mergeCells count="9">
    <mergeCell ref="C210:D210"/>
    <mergeCell ref="C206:D206"/>
    <mergeCell ref="C209:D209"/>
    <mergeCell ref="C208:D208"/>
    <mergeCell ref="C202:D202"/>
    <mergeCell ref="C203:D203"/>
    <mergeCell ref="C204:D204"/>
    <mergeCell ref="C205:D205"/>
    <mergeCell ref="C207:D20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"/>
  <dimension ref="A1:F5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8" sqref="D18"/>
    </sheetView>
  </sheetViews>
  <sheetFormatPr defaultRowHeight="15"/>
  <cols>
    <col min="1" max="1" width="27.7109375" customWidth="1"/>
  </cols>
  <sheetData>
    <row r="1" spans="1:6" ht="15.75">
      <c r="A1" s="46" t="s">
        <v>532</v>
      </c>
      <c r="B1" s="46" t="s">
        <v>715</v>
      </c>
      <c r="C1" s="46" t="s">
        <v>716</v>
      </c>
      <c r="D1" s="46" t="s">
        <v>567</v>
      </c>
      <c r="E1" s="10"/>
      <c r="F1" s="10"/>
    </row>
    <row r="2" spans="1:6">
      <c r="A2" s="10" t="s">
        <v>761</v>
      </c>
      <c r="B2" s="10">
        <v>4</v>
      </c>
      <c r="C2" s="10">
        <v>1</v>
      </c>
      <c r="D2" s="10">
        <v>16</v>
      </c>
      <c r="E2" s="10"/>
      <c r="F2" s="10"/>
    </row>
    <row r="3" spans="1:6" s="7" customFormat="1">
      <c r="A3" s="10" t="s">
        <v>717</v>
      </c>
      <c r="B3" s="10">
        <v>3</v>
      </c>
      <c r="C3" s="10">
        <v>2</v>
      </c>
      <c r="D3" s="10">
        <v>15</v>
      </c>
      <c r="E3" s="10"/>
      <c r="F3" s="10"/>
    </row>
    <row r="4" spans="1:6">
      <c r="A4" s="10" t="s">
        <v>738</v>
      </c>
      <c r="B4" s="10">
        <v>5</v>
      </c>
      <c r="C4" s="10">
        <v>6</v>
      </c>
      <c r="D4" s="10">
        <v>30</v>
      </c>
      <c r="E4" s="10"/>
      <c r="F4" s="10"/>
    </row>
    <row r="5" spans="1:6">
      <c r="A5" s="10" t="s">
        <v>740</v>
      </c>
      <c r="B5" s="10">
        <v>6</v>
      </c>
      <c r="C5" s="10">
        <v>4</v>
      </c>
      <c r="D5" s="10">
        <v>12</v>
      </c>
      <c r="E5" s="10"/>
      <c r="F5" s="10"/>
    </row>
    <row r="6" spans="1:6">
      <c r="A6" s="10" t="s">
        <v>739</v>
      </c>
      <c r="B6" s="10">
        <v>4</v>
      </c>
      <c r="C6" s="10">
        <v>6</v>
      </c>
      <c r="D6" s="10">
        <v>35</v>
      </c>
      <c r="E6" s="10"/>
      <c r="F6" s="10"/>
    </row>
    <row r="7" spans="1:6">
      <c r="A7" s="10" t="s">
        <v>741</v>
      </c>
      <c r="B7" s="10">
        <v>7</v>
      </c>
      <c r="C7" s="10">
        <v>3</v>
      </c>
      <c r="D7" s="10">
        <v>8</v>
      </c>
      <c r="E7" s="10"/>
      <c r="F7" s="10"/>
    </row>
    <row r="8" spans="1:6">
      <c r="A8" s="10" t="s">
        <v>758</v>
      </c>
      <c r="B8" s="10">
        <v>3</v>
      </c>
      <c r="C8" s="10">
        <v>1</v>
      </c>
      <c r="D8" s="10">
        <v>16</v>
      </c>
      <c r="E8" s="7"/>
      <c r="F8" s="7"/>
    </row>
    <row r="9" spans="1:6">
      <c r="A9" s="10" t="s">
        <v>759</v>
      </c>
      <c r="B9" s="10">
        <v>4</v>
      </c>
      <c r="C9" s="10">
        <v>0</v>
      </c>
      <c r="D9" s="10">
        <v>7</v>
      </c>
      <c r="E9" s="7"/>
      <c r="F9" s="7"/>
    </row>
    <row r="10" spans="1:6" s="7" customFormat="1">
      <c r="A10" s="10" t="s">
        <v>746</v>
      </c>
      <c r="B10" s="10">
        <v>4</v>
      </c>
      <c r="C10" s="10">
        <f>4-IF(OR(SUMIFS(INDEX(kasztok,,7),INDEX(kasztok,,1),választott_kaszt_1)=gladiátor,SUMIFS(INDEX(kasztok,,7),INDEX(kasztok,,1),választott_kaszt_2)=gladiátor),2,0)</f>
        <v>4</v>
      </c>
      <c r="D10" s="10">
        <v>18</v>
      </c>
      <c r="E10" s="10"/>
      <c r="F10" s="10"/>
    </row>
    <row r="11" spans="1:6" s="7" customFormat="1">
      <c r="A11" s="10" t="s">
        <v>726</v>
      </c>
      <c r="B11" s="10">
        <v>1</v>
      </c>
      <c r="C11" s="10">
        <v>1</v>
      </c>
      <c r="D11" s="10">
        <v>12</v>
      </c>
      <c r="E11" s="10"/>
      <c r="F11" s="10"/>
    </row>
    <row r="12" spans="1:6" s="7" customFormat="1">
      <c r="A12" s="10" t="s">
        <v>748</v>
      </c>
      <c r="B12" s="10">
        <v>4</v>
      </c>
      <c r="C12" s="10">
        <v>1</v>
      </c>
      <c r="D12" s="10">
        <v>16</v>
      </c>
    </row>
    <row r="13" spans="1:6">
      <c r="A13" s="10" t="s">
        <v>725</v>
      </c>
      <c r="B13" s="10">
        <v>2</v>
      </c>
      <c r="C13" s="10">
        <v>2</v>
      </c>
      <c r="D13" s="10">
        <v>7</v>
      </c>
      <c r="E13" s="10"/>
      <c r="F13" s="10"/>
    </row>
    <row r="14" spans="1:6" s="7" customFormat="1">
      <c r="A14" s="10" t="s">
        <v>724</v>
      </c>
      <c r="B14" s="10">
        <v>1</v>
      </c>
      <c r="C14" s="10">
        <v>0</v>
      </c>
      <c r="D14" s="10">
        <v>8</v>
      </c>
      <c r="E14" s="10"/>
      <c r="F14" s="10"/>
    </row>
    <row r="15" spans="1:6" s="7" customFormat="1">
      <c r="A15" s="10" t="s">
        <v>747</v>
      </c>
      <c r="B15" s="10">
        <v>5</v>
      </c>
      <c r="C15" s="10">
        <v>2</v>
      </c>
      <c r="D15" s="10">
        <v>10</v>
      </c>
    </row>
    <row r="16" spans="1:6">
      <c r="A16" s="10" t="s">
        <v>718</v>
      </c>
      <c r="B16" s="10">
        <v>2</v>
      </c>
      <c r="C16" s="10">
        <v>1</v>
      </c>
      <c r="D16" s="10">
        <v>20</v>
      </c>
      <c r="E16" s="10"/>
      <c r="F16" s="10"/>
    </row>
    <row r="17" spans="1:6" s="148" customFormat="1">
      <c r="A17" s="10" t="s">
        <v>718</v>
      </c>
      <c r="B17" s="10">
        <v>3</v>
      </c>
      <c r="C17" s="10">
        <v>0</v>
      </c>
      <c r="D17" s="10">
        <v>9</v>
      </c>
      <c r="E17" s="10"/>
      <c r="F17" s="10"/>
    </row>
    <row r="18" spans="1:6" s="7" customFormat="1">
      <c r="A18" s="10" t="s">
        <v>721</v>
      </c>
      <c r="B18" s="10">
        <v>3</v>
      </c>
      <c r="C18" s="10">
        <v>3</v>
      </c>
      <c r="D18" s="10">
        <v>16</v>
      </c>
      <c r="E18" s="10"/>
      <c r="F18" s="10"/>
    </row>
    <row r="19" spans="1:6" s="7" customFormat="1">
      <c r="A19" s="10" t="s">
        <v>733</v>
      </c>
      <c r="B19" s="10">
        <v>4</v>
      </c>
      <c r="C19" s="10">
        <v>2</v>
      </c>
      <c r="D19" s="10">
        <v>7</v>
      </c>
      <c r="E19" s="10"/>
      <c r="F19" s="10"/>
    </row>
    <row r="20" spans="1:6" s="7" customFormat="1">
      <c r="A20" s="10" t="s">
        <v>732</v>
      </c>
      <c r="B20" s="10">
        <v>2</v>
      </c>
      <c r="C20" s="10">
        <v>3</v>
      </c>
      <c r="D20" s="10">
        <v>18</v>
      </c>
      <c r="E20" s="10"/>
      <c r="F20" s="10"/>
    </row>
    <row r="21" spans="1:6" s="7" customFormat="1">
      <c r="A21" s="10" t="s">
        <v>734</v>
      </c>
      <c r="B21" s="10">
        <v>5</v>
      </c>
      <c r="C21" s="10">
        <v>1</v>
      </c>
      <c r="D21" s="10">
        <v>5</v>
      </c>
      <c r="E21" s="10"/>
      <c r="F21" s="10"/>
    </row>
    <row r="22" spans="1:6" s="7" customFormat="1">
      <c r="A22" s="10" t="s">
        <v>722</v>
      </c>
      <c r="B22" s="10">
        <v>4</v>
      </c>
      <c r="C22" s="10">
        <v>4</v>
      </c>
      <c r="D22" s="10">
        <v>18</v>
      </c>
      <c r="E22" s="10"/>
      <c r="F22" s="10"/>
    </row>
    <row r="23" spans="1:6" s="7" customFormat="1">
      <c r="A23" s="10" t="s">
        <v>736</v>
      </c>
      <c r="B23" s="10">
        <v>5</v>
      </c>
      <c r="C23" s="10">
        <v>2</v>
      </c>
      <c r="D23" s="10">
        <v>8</v>
      </c>
      <c r="E23" s="10"/>
      <c r="F23" s="10"/>
    </row>
    <row r="24" spans="1:6" s="7" customFormat="1">
      <c r="A24" s="10" t="s">
        <v>735</v>
      </c>
      <c r="B24" s="10">
        <v>3</v>
      </c>
      <c r="C24" s="10">
        <v>4</v>
      </c>
      <c r="D24" s="10">
        <v>20</v>
      </c>
      <c r="E24" s="10"/>
      <c r="F24" s="10"/>
    </row>
    <row r="25" spans="1:6" s="7" customFormat="1">
      <c r="A25" s="10" t="s">
        <v>737</v>
      </c>
      <c r="B25" s="10">
        <v>6</v>
      </c>
      <c r="C25" s="10">
        <v>1</v>
      </c>
      <c r="D25" s="10">
        <v>6</v>
      </c>
      <c r="E25" s="10"/>
      <c r="F25" s="10"/>
    </row>
    <row r="26" spans="1:6">
      <c r="A26" s="10" t="s">
        <v>720</v>
      </c>
      <c r="B26" s="10">
        <v>3</v>
      </c>
      <c r="C26" s="10">
        <v>2</v>
      </c>
      <c r="D26" s="10">
        <v>16</v>
      </c>
      <c r="E26" s="10"/>
      <c r="F26" s="10"/>
    </row>
    <row r="27" spans="1:6">
      <c r="A27" s="10" t="s">
        <v>730</v>
      </c>
      <c r="B27" s="10">
        <v>4</v>
      </c>
      <c r="C27" s="10">
        <v>1</v>
      </c>
      <c r="D27" s="10">
        <v>7</v>
      </c>
      <c r="E27" s="10"/>
      <c r="F27" s="10"/>
    </row>
    <row r="28" spans="1:6">
      <c r="A28" s="10" t="s">
        <v>729</v>
      </c>
      <c r="B28" s="10">
        <v>2</v>
      </c>
      <c r="C28" s="10">
        <v>2</v>
      </c>
      <c r="D28" s="10">
        <v>18</v>
      </c>
      <c r="E28" s="10"/>
      <c r="F28" s="10"/>
    </row>
    <row r="29" spans="1:6">
      <c r="A29" s="10" t="s">
        <v>731</v>
      </c>
      <c r="B29" s="10">
        <v>5</v>
      </c>
      <c r="C29" s="10">
        <v>0</v>
      </c>
      <c r="D29" s="10">
        <v>5</v>
      </c>
      <c r="E29" s="10"/>
      <c r="F29" s="10"/>
    </row>
    <row r="30" spans="1:6">
      <c r="A30" s="10" t="s">
        <v>723</v>
      </c>
      <c r="B30" s="10">
        <v>1</v>
      </c>
      <c r="C30" s="10">
        <v>0</v>
      </c>
      <c r="D30" s="10">
        <v>5</v>
      </c>
      <c r="E30" s="10"/>
      <c r="F30" s="10"/>
    </row>
    <row r="31" spans="1:6">
      <c r="A31" s="10" t="s">
        <v>754</v>
      </c>
      <c r="B31" s="10">
        <v>4</v>
      </c>
      <c r="C31" s="10">
        <v>3</v>
      </c>
      <c r="D31" s="10">
        <v>18</v>
      </c>
      <c r="E31" s="10"/>
      <c r="F31" s="10"/>
    </row>
    <row r="32" spans="1:6">
      <c r="A32" s="10" t="s">
        <v>756</v>
      </c>
      <c r="B32" s="10">
        <v>5</v>
      </c>
      <c r="C32" s="10">
        <v>2</v>
      </c>
      <c r="D32" s="10">
        <v>8</v>
      </c>
      <c r="E32" s="10"/>
      <c r="F32" s="10"/>
    </row>
    <row r="33" spans="1:6">
      <c r="A33" s="10" t="s">
        <v>755</v>
      </c>
      <c r="B33" s="10">
        <v>3</v>
      </c>
      <c r="C33" s="10">
        <v>3</v>
      </c>
      <c r="D33" s="10">
        <v>20</v>
      </c>
      <c r="E33" s="10"/>
      <c r="F33" s="10"/>
    </row>
    <row r="34" spans="1:6">
      <c r="A34" s="10" t="s">
        <v>757</v>
      </c>
      <c r="B34" s="10">
        <v>6</v>
      </c>
      <c r="C34" s="10">
        <v>1</v>
      </c>
      <c r="D34" s="10">
        <v>6</v>
      </c>
      <c r="E34" s="10"/>
      <c r="F34" s="10"/>
    </row>
    <row r="35" spans="1:6">
      <c r="A35" s="10" t="s">
        <v>719</v>
      </c>
      <c r="B35" s="10">
        <v>3</v>
      </c>
      <c r="C35" s="10">
        <v>1</v>
      </c>
      <c r="D35" s="10">
        <v>20</v>
      </c>
      <c r="E35" s="10"/>
      <c r="F35" s="10"/>
    </row>
    <row r="36" spans="1:6">
      <c r="A36" s="10" t="s">
        <v>727</v>
      </c>
      <c r="B36" s="10">
        <v>4</v>
      </c>
      <c r="C36" s="10">
        <v>0</v>
      </c>
      <c r="D36" s="10">
        <v>12</v>
      </c>
      <c r="E36" s="10"/>
      <c r="F36" s="10"/>
    </row>
    <row r="37" spans="1:6">
      <c r="A37" s="10" t="s">
        <v>752</v>
      </c>
      <c r="B37" s="10">
        <v>5</v>
      </c>
      <c r="C37" s="10">
        <v>0</v>
      </c>
      <c r="D37" s="10">
        <v>11</v>
      </c>
      <c r="E37" s="7"/>
      <c r="F37" s="7"/>
    </row>
    <row r="38" spans="1:6">
      <c r="A38" s="10" t="s">
        <v>753</v>
      </c>
      <c r="B38" s="10">
        <v>6</v>
      </c>
      <c r="C38" s="10">
        <v>0</v>
      </c>
      <c r="D38" s="10">
        <v>10</v>
      </c>
    </row>
    <row r="39" spans="1:6">
      <c r="A39" s="10" t="s">
        <v>749</v>
      </c>
      <c r="B39" s="10">
        <v>4</v>
      </c>
      <c r="C39" s="10">
        <v>1</v>
      </c>
      <c r="D39" s="10">
        <v>14</v>
      </c>
    </row>
    <row r="40" spans="1:6">
      <c r="A40" s="10" t="s">
        <v>728</v>
      </c>
      <c r="B40" s="10">
        <v>5</v>
      </c>
      <c r="C40" s="10">
        <v>0</v>
      </c>
      <c r="D40" s="10">
        <v>10</v>
      </c>
      <c r="E40" s="10"/>
      <c r="F40" s="10"/>
    </row>
    <row r="41" spans="1:6">
      <c r="A41" s="10" t="s">
        <v>750</v>
      </c>
      <c r="B41" s="10">
        <v>3</v>
      </c>
      <c r="C41" s="10">
        <v>0</v>
      </c>
      <c r="D41" s="10">
        <v>13</v>
      </c>
    </row>
    <row r="42" spans="1:6">
      <c r="A42" s="10" t="s">
        <v>751</v>
      </c>
      <c r="B42" s="10">
        <v>4</v>
      </c>
      <c r="C42" s="10">
        <v>0</v>
      </c>
      <c r="D42" s="10">
        <v>13</v>
      </c>
    </row>
    <row r="43" spans="1:6">
      <c r="A43" s="10" t="s">
        <v>742</v>
      </c>
      <c r="B43" s="10">
        <v>6</v>
      </c>
      <c r="C43" s="10">
        <v>8</v>
      </c>
      <c r="D43" s="10">
        <v>35</v>
      </c>
      <c r="E43" s="10"/>
      <c r="F43" s="10"/>
    </row>
    <row r="44" spans="1:6">
      <c r="A44" s="10" t="s">
        <v>744</v>
      </c>
      <c r="B44" s="10">
        <v>7</v>
      </c>
      <c r="C44" s="10">
        <v>6</v>
      </c>
      <c r="D44" s="10">
        <v>15</v>
      </c>
      <c r="E44" s="10"/>
      <c r="F44" s="10"/>
    </row>
    <row r="45" spans="1:6">
      <c r="A45" s="10" t="s">
        <v>743</v>
      </c>
      <c r="B45" s="10">
        <v>5</v>
      </c>
      <c r="C45" s="10">
        <v>8</v>
      </c>
      <c r="D45" s="10">
        <v>40</v>
      </c>
      <c r="E45" s="10"/>
      <c r="F45" s="10"/>
    </row>
    <row r="46" spans="1:6">
      <c r="A46" s="10" t="s">
        <v>745</v>
      </c>
      <c r="B46" s="10">
        <v>8</v>
      </c>
      <c r="C46" s="10">
        <v>4</v>
      </c>
      <c r="D46" s="10">
        <v>10</v>
      </c>
      <c r="E46" s="10"/>
      <c r="F46" s="10"/>
    </row>
    <row r="47" spans="1:6">
      <c r="A47" s="10" t="s">
        <v>760</v>
      </c>
      <c r="B47" s="10">
        <v>5</v>
      </c>
      <c r="C47" s="10">
        <v>0</v>
      </c>
      <c r="D47" s="10">
        <v>5</v>
      </c>
    </row>
    <row r="48" spans="1:6">
      <c r="A48" s="18"/>
      <c r="B48" s="18"/>
      <c r="C48" s="18"/>
      <c r="D48" s="18"/>
    </row>
    <row r="49" spans="1:4">
      <c r="A49" s="10"/>
      <c r="B49" s="10"/>
      <c r="C49" s="10"/>
      <c r="D49" s="10"/>
    </row>
    <row r="50" spans="1:4">
      <c r="A50" s="10"/>
      <c r="B50" s="10"/>
      <c r="C50" s="10"/>
      <c r="D50" s="10"/>
    </row>
    <row r="51" spans="1:4">
      <c r="A51" s="10"/>
      <c r="B51" s="10"/>
      <c r="C51" s="10"/>
      <c r="D51" s="10"/>
    </row>
    <row r="52" spans="1:4">
      <c r="A52" s="10"/>
      <c r="B52" s="10"/>
      <c r="C52" s="10"/>
      <c r="D52" s="10"/>
    </row>
  </sheetData>
  <sheetProtection password="C6AC" sheet="1" objects="1" scenarios="1"/>
  <autoFilter ref="A1:C1"/>
  <sortState ref="A2:F45">
    <sortCondition ref="A2:A4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5"/>
  <dimension ref="A1:H35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G5" sqref="G5"/>
    </sheetView>
  </sheetViews>
  <sheetFormatPr defaultRowHeight="15"/>
  <cols>
    <col min="1" max="1" width="21.7109375" customWidth="1"/>
    <col min="2" max="2" width="27.7109375" customWidth="1"/>
    <col min="4" max="4" width="12.7109375" style="148" customWidth="1"/>
    <col min="5" max="5" width="6.7109375" style="148" customWidth="1"/>
    <col min="6" max="7" width="6.7109375" customWidth="1"/>
    <col min="8" max="8" width="6.7109375" style="148" customWidth="1"/>
  </cols>
  <sheetData>
    <row r="1" spans="1:8" ht="15.75">
      <c r="A1" s="46" t="s">
        <v>810</v>
      </c>
      <c r="B1" s="46" t="s">
        <v>811</v>
      </c>
      <c r="C1" s="46" t="s">
        <v>812</v>
      </c>
      <c r="D1" s="185" t="s">
        <v>850</v>
      </c>
      <c r="E1" s="185" t="s">
        <v>855</v>
      </c>
      <c r="F1" s="185" t="s">
        <v>93</v>
      </c>
      <c r="G1" s="185" t="s">
        <v>851</v>
      </c>
      <c r="H1" s="185" t="s">
        <v>852</v>
      </c>
    </row>
    <row r="2" spans="1:8" ht="15.75">
      <c r="A2" s="28" t="s">
        <v>843</v>
      </c>
      <c r="B2" s="158" t="s">
        <v>869</v>
      </c>
      <c r="C2" s="12" t="s">
        <v>870</v>
      </c>
      <c r="D2" s="12" t="str">
        <f>IF(választott_csillagjegy=$A2,"érzékelés","---")</f>
        <v>---</v>
      </c>
      <c r="E2" s="162"/>
      <c r="F2" s="157"/>
      <c r="G2" s="163"/>
      <c r="H2" s="157"/>
    </row>
    <row r="3" spans="1:8" ht="15.75">
      <c r="A3" s="28" t="s">
        <v>813</v>
      </c>
      <c r="B3" s="159" t="s">
        <v>844</v>
      </c>
      <c r="C3" s="12" t="s">
        <v>870</v>
      </c>
      <c r="D3" s="161"/>
      <c r="E3" s="162"/>
      <c r="F3" s="157"/>
      <c r="G3" s="163"/>
      <c r="H3" s="157"/>
    </row>
    <row r="4" spans="1:8" ht="15.75">
      <c r="A4" s="28" t="s">
        <v>814</v>
      </c>
      <c r="B4" s="159" t="s">
        <v>845</v>
      </c>
      <c r="C4" s="12" t="s">
        <v>870</v>
      </c>
      <c r="D4" s="161"/>
      <c r="E4" s="162"/>
      <c r="F4" s="157"/>
      <c r="G4" s="163"/>
      <c r="H4" s="157"/>
    </row>
    <row r="5" spans="1:8" s="148" customFormat="1" ht="15.75">
      <c r="A5" s="28" t="s">
        <v>830</v>
      </c>
      <c r="B5" s="159" t="s">
        <v>846</v>
      </c>
      <c r="C5" s="12" t="s">
        <v>873</v>
      </c>
      <c r="D5" s="161"/>
      <c r="E5" s="162"/>
      <c r="F5" s="157"/>
      <c r="G5" s="160">
        <f>IF(választott_csillagjegy=$A5,0.1,0)</f>
        <v>0</v>
      </c>
      <c r="H5" s="157"/>
    </row>
    <row r="6" spans="1:8" ht="15.75">
      <c r="A6" s="28" t="s">
        <v>815</v>
      </c>
      <c r="B6" s="159" t="s">
        <v>847</v>
      </c>
      <c r="C6" s="12" t="s">
        <v>872</v>
      </c>
      <c r="D6" s="161"/>
      <c r="E6" s="162"/>
      <c r="F6" s="157"/>
      <c r="G6" s="163"/>
      <c r="H6" s="33">
        <f>IF(választott_csillagjegy=$A6,3,0)</f>
        <v>0</v>
      </c>
    </row>
    <row r="7" spans="1:8" ht="15.75">
      <c r="A7" s="28" t="s">
        <v>816</v>
      </c>
      <c r="B7" s="159" t="s">
        <v>848</v>
      </c>
      <c r="C7" s="12" t="s">
        <v>870</v>
      </c>
      <c r="D7" s="161"/>
      <c r="E7" s="162"/>
      <c r="F7" s="33">
        <f>IF(választott_csillagjegy=$A7,3,0)</f>
        <v>0</v>
      </c>
      <c r="G7" s="163"/>
      <c r="H7" s="157"/>
    </row>
    <row r="8" spans="1:8" s="148" customFormat="1" ht="15.75">
      <c r="A8" s="28" t="s">
        <v>817</v>
      </c>
      <c r="B8" s="158" t="s">
        <v>860</v>
      </c>
      <c r="C8" s="12" t="s">
        <v>871</v>
      </c>
      <c r="D8" s="12" t="str">
        <f>IF(választott_csillagjegy=$A8,"szépség","---")</f>
        <v>---</v>
      </c>
      <c r="E8" s="161"/>
      <c r="F8" s="157"/>
      <c r="G8" s="163"/>
      <c r="H8" s="157"/>
    </row>
    <row r="9" spans="1:8" ht="15.75">
      <c r="A9" s="28" t="s">
        <v>818</v>
      </c>
      <c r="B9" s="159" t="s">
        <v>849</v>
      </c>
      <c r="C9" s="12" t="s">
        <v>873</v>
      </c>
      <c r="D9" s="161"/>
      <c r="E9" s="162"/>
      <c r="F9" s="33">
        <f>IF(választott_csillagjegy=$A9,3,0)</f>
        <v>0</v>
      </c>
      <c r="G9" s="163"/>
      <c r="H9" s="157"/>
    </row>
    <row r="10" spans="1:8" s="148" customFormat="1" ht="15.75">
      <c r="A10" s="28" t="s">
        <v>834</v>
      </c>
      <c r="B10" s="159" t="s">
        <v>854</v>
      </c>
      <c r="C10" s="12" t="s">
        <v>871</v>
      </c>
      <c r="D10" s="161"/>
      <c r="E10" s="162"/>
      <c r="F10" s="157"/>
      <c r="G10" s="163"/>
      <c r="H10" s="157"/>
    </row>
    <row r="11" spans="1:8" ht="15.75">
      <c r="A11" s="28" t="s">
        <v>819</v>
      </c>
      <c r="B11" s="159" t="s">
        <v>853</v>
      </c>
      <c r="C11" s="12" t="s">
        <v>872</v>
      </c>
      <c r="D11" s="161"/>
      <c r="E11" s="162"/>
      <c r="F11" s="157"/>
      <c r="G11" s="163"/>
      <c r="H11" s="157"/>
    </row>
    <row r="12" spans="1:8" ht="15.75">
      <c r="A12" s="28" t="s">
        <v>820</v>
      </c>
      <c r="B12" s="159" t="s">
        <v>856</v>
      </c>
      <c r="C12" s="12" t="s">
        <v>870</v>
      </c>
      <c r="D12" s="161"/>
      <c r="E12" s="162"/>
      <c r="F12" s="33">
        <f>IF(választott_csillagjegy=$A12,INT(0.5*MAX(0,intelligencia-10)+0.5),0)</f>
        <v>0</v>
      </c>
      <c r="G12" s="163"/>
      <c r="H12" s="157"/>
    </row>
    <row r="13" spans="1:8" s="148" customFormat="1" ht="15.75">
      <c r="A13" s="28" t="s">
        <v>835</v>
      </c>
      <c r="B13" s="159" t="s">
        <v>854</v>
      </c>
      <c r="C13" s="12" t="s">
        <v>871</v>
      </c>
      <c r="D13" s="161"/>
      <c r="E13" s="162"/>
      <c r="F13" s="157"/>
      <c r="G13" s="163"/>
      <c r="H13" s="157"/>
    </row>
    <row r="14" spans="1:8" ht="15.75">
      <c r="A14" s="28" t="s">
        <v>821</v>
      </c>
      <c r="B14" s="159" t="s">
        <v>854</v>
      </c>
      <c r="C14" s="12" t="s">
        <v>871</v>
      </c>
      <c r="D14" s="161"/>
      <c r="E14" s="162"/>
      <c r="F14" s="157"/>
      <c r="G14" s="163"/>
      <c r="H14" s="157"/>
    </row>
    <row r="15" spans="1:8" ht="15.75">
      <c r="A15" s="28" t="s">
        <v>833</v>
      </c>
      <c r="B15" s="159" t="s">
        <v>857</v>
      </c>
      <c r="C15" s="12" t="s">
        <v>873</v>
      </c>
      <c r="D15" s="161"/>
      <c r="E15" s="33">
        <f>IF(választott_csillagjegy=$A15,MAX(0,akaraterő-10),0)</f>
        <v>0</v>
      </c>
      <c r="F15" s="157"/>
      <c r="G15" s="163"/>
      <c r="H15" s="157"/>
    </row>
    <row r="16" spans="1:8" s="148" customFormat="1" ht="15.75">
      <c r="A16" s="28" t="s">
        <v>836</v>
      </c>
      <c r="B16" s="158" t="s">
        <v>858</v>
      </c>
      <c r="C16" s="12" t="s">
        <v>872</v>
      </c>
      <c r="D16" s="12" t="str">
        <f>IF(választott_csillagjegy=$A16,"állóképesség","---")</f>
        <v>---</v>
      </c>
      <c r="E16" s="162"/>
      <c r="F16" s="157"/>
      <c r="G16" s="163"/>
      <c r="H16" s="157"/>
    </row>
    <row r="17" spans="1:8" s="148" customFormat="1" ht="15.75">
      <c r="A17" s="28" t="s">
        <v>837</v>
      </c>
      <c r="B17" s="158" t="s">
        <v>858</v>
      </c>
      <c r="C17" s="12" t="s">
        <v>872</v>
      </c>
      <c r="D17" s="12" t="str">
        <f>IF(választott_csillagjegy=$A17,"állóképesség","---")</f>
        <v>---</v>
      </c>
      <c r="E17" s="162"/>
      <c r="F17" s="157"/>
      <c r="G17" s="163"/>
      <c r="H17" s="157"/>
    </row>
    <row r="18" spans="1:8" ht="15.75">
      <c r="A18" s="28" t="s">
        <v>822</v>
      </c>
      <c r="B18" s="158" t="s">
        <v>859</v>
      </c>
      <c r="C18" s="12" t="s">
        <v>870</v>
      </c>
      <c r="D18" s="12" t="str">
        <f>IF(választott_csillagjegy=$A18,"asztrál","---")</f>
        <v>---</v>
      </c>
      <c r="E18" s="162"/>
      <c r="F18" s="157"/>
      <c r="G18" s="163"/>
      <c r="H18" s="157"/>
    </row>
    <row r="19" spans="1:8" ht="15.75">
      <c r="A19" s="28" t="s">
        <v>832</v>
      </c>
      <c r="B19" s="159" t="s">
        <v>853</v>
      </c>
      <c r="C19" s="12" t="s">
        <v>872</v>
      </c>
      <c r="D19" s="161"/>
      <c r="E19" s="162"/>
      <c r="F19" s="157"/>
      <c r="G19" s="163"/>
      <c r="H19" s="157"/>
    </row>
    <row r="20" spans="1:8" s="148" customFormat="1" ht="15.75">
      <c r="A20" s="28" t="s">
        <v>839</v>
      </c>
      <c r="B20" s="159" t="s">
        <v>863</v>
      </c>
      <c r="C20" s="12" t="s">
        <v>872</v>
      </c>
      <c r="D20" s="161"/>
      <c r="E20" s="162"/>
      <c r="F20" s="157"/>
      <c r="G20" s="163"/>
      <c r="H20" s="157"/>
    </row>
    <row r="21" spans="1:8" ht="15.75">
      <c r="A21" s="28" t="s">
        <v>838</v>
      </c>
      <c r="B21" s="159" t="s">
        <v>861</v>
      </c>
      <c r="C21" s="12" t="s">
        <v>871</v>
      </c>
      <c r="D21" s="161"/>
      <c r="E21" s="162"/>
      <c r="F21" s="157"/>
      <c r="G21" s="163"/>
      <c r="H21" s="157"/>
    </row>
    <row r="22" spans="1:8" ht="15.75">
      <c r="A22" s="28" t="s">
        <v>823</v>
      </c>
      <c r="B22" s="159" t="s">
        <v>862</v>
      </c>
      <c r="C22" s="12" t="s">
        <v>873</v>
      </c>
      <c r="D22" s="161"/>
      <c r="E22" s="162"/>
      <c r="F22" s="157"/>
      <c r="G22" s="163"/>
      <c r="H22" s="157"/>
    </row>
    <row r="23" spans="1:8" ht="15.75">
      <c r="A23" s="28" t="s">
        <v>824</v>
      </c>
      <c r="B23" s="159" t="s">
        <v>863</v>
      </c>
      <c r="C23" s="12" t="s">
        <v>872</v>
      </c>
      <c r="D23" s="161"/>
      <c r="E23" s="162"/>
      <c r="F23" s="157"/>
      <c r="G23" s="163"/>
      <c r="H23" s="157"/>
    </row>
    <row r="24" spans="1:8" ht="15.75">
      <c r="A24" s="28" t="s">
        <v>829</v>
      </c>
      <c r="B24" s="159" t="s">
        <v>848</v>
      </c>
      <c r="C24" s="12" t="s">
        <v>870</v>
      </c>
      <c r="D24" s="161"/>
      <c r="E24" s="162"/>
      <c r="F24" s="33">
        <f>IF(választott_csillagjegy=$A24,3,0)</f>
        <v>0</v>
      </c>
      <c r="G24" s="163"/>
      <c r="H24" s="157"/>
    </row>
    <row r="25" spans="1:8" s="148" customFormat="1" ht="15.75">
      <c r="A25" s="28" t="s">
        <v>825</v>
      </c>
      <c r="B25" s="159" t="s">
        <v>864</v>
      </c>
      <c r="C25" s="12" t="s">
        <v>871</v>
      </c>
      <c r="D25" s="161"/>
      <c r="E25" s="162"/>
      <c r="F25" s="157"/>
      <c r="G25" s="163"/>
      <c r="H25" s="157"/>
    </row>
    <row r="26" spans="1:8" ht="15.75">
      <c r="A26" s="28" t="s">
        <v>831</v>
      </c>
      <c r="B26" s="158" t="s">
        <v>860</v>
      </c>
      <c r="C26" s="12" t="s">
        <v>871</v>
      </c>
      <c r="D26" s="12" t="str">
        <f>IF(választott_csillagjegy=$A26,"szépség","---")</f>
        <v>---</v>
      </c>
      <c r="E26" s="161"/>
      <c r="F26" s="157"/>
      <c r="G26" s="163"/>
      <c r="H26" s="157"/>
    </row>
    <row r="27" spans="1:8" ht="15.75">
      <c r="A27" s="28" t="s">
        <v>840</v>
      </c>
      <c r="B27" s="159" t="s">
        <v>865</v>
      </c>
      <c r="C27" s="12" t="s">
        <v>871</v>
      </c>
      <c r="D27" s="161"/>
      <c r="E27" s="162"/>
      <c r="F27" s="157"/>
      <c r="G27" s="163"/>
      <c r="H27" s="157"/>
    </row>
    <row r="28" spans="1:8" s="148" customFormat="1" ht="15.75">
      <c r="A28" s="28" t="s">
        <v>867</v>
      </c>
      <c r="B28" s="158" t="s">
        <v>866</v>
      </c>
      <c r="C28" s="12" t="s">
        <v>873</v>
      </c>
      <c r="D28" s="12" t="str">
        <f>IF(választott_csillagjegy=$A28,"akaraterő","---")</f>
        <v>---</v>
      </c>
      <c r="E28" s="162"/>
      <c r="F28" s="157"/>
      <c r="G28" s="163"/>
      <c r="H28" s="157"/>
    </row>
    <row r="29" spans="1:8" s="148" customFormat="1" ht="15.75">
      <c r="A29" s="28" t="s">
        <v>842</v>
      </c>
      <c r="B29" s="159" t="s">
        <v>865</v>
      </c>
      <c r="C29" s="12" t="s">
        <v>871</v>
      </c>
      <c r="D29" s="161"/>
      <c r="E29" s="162"/>
      <c r="F29" s="157"/>
      <c r="G29" s="163"/>
      <c r="H29" s="157"/>
    </row>
    <row r="30" spans="1:8" ht="15.75">
      <c r="A30" s="28" t="s">
        <v>826</v>
      </c>
      <c r="B30" s="159" t="s">
        <v>868</v>
      </c>
      <c r="C30" s="12" t="s">
        <v>872</v>
      </c>
      <c r="D30" s="161"/>
      <c r="E30" s="162"/>
      <c r="F30" s="33">
        <f>IF(választott_csillagjegy=$A30,3,0)</f>
        <v>0</v>
      </c>
      <c r="G30" s="163"/>
      <c r="H30" s="157"/>
    </row>
    <row r="31" spans="1:8" ht="15.75">
      <c r="A31" s="28" t="s">
        <v>828</v>
      </c>
      <c r="B31" s="159" t="s">
        <v>846</v>
      </c>
      <c r="C31" s="12" t="s">
        <v>873</v>
      </c>
      <c r="D31" s="161"/>
      <c r="E31" s="162"/>
      <c r="F31" s="157"/>
      <c r="G31" s="160">
        <f>IF(választott_csillagjegy=$A31,0.1,0)</f>
        <v>0</v>
      </c>
      <c r="H31" s="157"/>
    </row>
    <row r="32" spans="1:8" ht="15.75">
      <c r="A32" s="28" t="s">
        <v>841</v>
      </c>
      <c r="B32" s="159" t="s">
        <v>865</v>
      </c>
      <c r="C32" s="12" t="s">
        <v>871</v>
      </c>
      <c r="D32" s="161"/>
      <c r="E32" s="162"/>
      <c r="F32" s="157"/>
      <c r="G32" s="163"/>
      <c r="H32" s="157"/>
    </row>
    <row r="33" spans="1:8" ht="15.75">
      <c r="A33" s="28" t="s">
        <v>827</v>
      </c>
      <c r="B33" s="158" t="s">
        <v>869</v>
      </c>
      <c r="C33" s="12" t="s">
        <v>870</v>
      </c>
      <c r="D33" s="12" t="str">
        <f>IF(választott_csillagjegy=$A33,"érzékelés","---")</f>
        <v>---</v>
      </c>
      <c r="E33" s="162"/>
      <c r="F33" s="157"/>
      <c r="G33" s="163"/>
      <c r="H33" s="157"/>
    </row>
    <row r="34" spans="1:8">
      <c r="A34" s="18"/>
      <c r="B34" s="18"/>
      <c r="C34" s="18"/>
      <c r="D34" s="18"/>
      <c r="E34" s="18"/>
      <c r="F34" s="18"/>
      <c r="G34" s="18"/>
      <c r="H34" s="18"/>
    </row>
    <row r="35" spans="1:8">
      <c r="A35" s="10"/>
      <c r="B35" s="10"/>
      <c r="C35" s="10"/>
      <c r="D35" s="10"/>
      <c r="E35" s="10"/>
      <c r="F35" s="10"/>
      <c r="G35" s="10"/>
      <c r="H35" s="10"/>
    </row>
  </sheetData>
  <sheetProtection password="C6AC" sheet="1" objects="1" scenarios="1" autoFilter="0"/>
  <autoFilter ref="A1:H33">
    <sortState ref="A2:H33">
      <sortCondition ref="A2:A33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7"/>
  <dimension ref="A1:Q2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/>
  <cols>
    <col min="1" max="1" width="15.7109375" customWidth="1"/>
    <col min="2" max="2" width="90.7109375" style="148" customWidth="1"/>
    <col min="3" max="6" width="6.7109375" customWidth="1"/>
  </cols>
  <sheetData>
    <row r="1" spans="1:17" ht="15.75">
      <c r="A1" s="46" t="s">
        <v>874</v>
      </c>
      <c r="B1" s="46" t="s">
        <v>876</v>
      </c>
      <c r="C1" s="46" t="s">
        <v>805</v>
      </c>
      <c r="D1" s="46" t="s">
        <v>806</v>
      </c>
      <c r="E1" s="46" t="s">
        <v>807</v>
      </c>
      <c r="F1" s="46" t="s">
        <v>808</v>
      </c>
      <c r="G1" s="10"/>
      <c r="H1" s="10"/>
      <c r="I1" s="164"/>
      <c r="J1" s="164"/>
      <c r="K1" s="164"/>
      <c r="L1" s="164"/>
      <c r="M1" s="164"/>
      <c r="N1" s="164"/>
      <c r="O1" s="164"/>
      <c r="P1" s="164"/>
      <c r="Q1" s="164"/>
    </row>
    <row r="2" spans="1:17" ht="27">
      <c r="A2" s="166" t="s">
        <v>875</v>
      </c>
      <c r="B2" s="165" t="s">
        <v>884</v>
      </c>
      <c r="C2" s="165">
        <v>3</v>
      </c>
      <c r="D2" s="169"/>
      <c r="E2" s="165">
        <v>2</v>
      </c>
      <c r="F2" s="169"/>
      <c r="G2" s="10"/>
      <c r="H2" s="10"/>
      <c r="I2" s="164"/>
      <c r="J2" s="164"/>
      <c r="K2" s="164"/>
      <c r="L2" s="164"/>
      <c r="M2" s="164"/>
      <c r="N2" s="164"/>
      <c r="O2" s="164"/>
      <c r="P2" s="164"/>
      <c r="Q2" s="164"/>
    </row>
    <row r="3" spans="1:17" ht="40.5">
      <c r="A3" s="166" t="s">
        <v>877</v>
      </c>
      <c r="B3" s="165" t="s">
        <v>879</v>
      </c>
      <c r="C3" s="165">
        <v>1</v>
      </c>
      <c r="D3" s="165">
        <v>1</v>
      </c>
      <c r="E3" s="169"/>
      <c r="F3" s="165">
        <v>20</v>
      </c>
      <c r="G3" s="10"/>
      <c r="H3" s="10"/>
      <c r="I3" s="164"/>
      <c r="J3" s="164"/>
      <c r="K3" s="164"/>
      <c r="L3" s="164"/>
      <c r="M3" s="164"/>
      <c r="N3" s="164"/>
      <c r="O3" s="164"/>
      <c r="P3" s="164"/>
      <c r="Q3" s="164"/>
    </row>
    <row r="4" spans="1:17" ht="40.5">
      <c r="A4" s="166" t="s">
        <v>878</v>
      </c>
      <c r="B4" s="165" t="s">
        <v>879</v>
      </c>
      <c r="C4" s="165">
        <v>1</v>
      </c>
      <c r="D4" s="165">
        <v>2</v>
      </c>
      <c r="E4" s="169"/>
      <c r="F4" s="169"/>
      <c r="G4" s="10"/>
      <c r="H4" s="10"/>
      <c r="I4" s="164"/>
      <c r="J4" s="164"/>
      <c r="K4" s="164"/>
      <c r="L4" s="164"/>
      <c r="M4" s="164"/>
      <c r="N4" s="164"/>
      <c r="O4" s="164"/>
      <c r="P4" s="164"/>
      <c r="Q4" s="164"/>
    </row>
    <row r="5" spans="1:17" ht="27">
      <c r="A5" s="166" t="s">
        <v>880</v>
      </c>
      <c r="B5" s="165" t="s">
        <v>881</v>
      </c>
      <c r="C5" s="165">
        <v>2</v>
      </c>
      <c r="D5" s="165">
        <v>1</v>
      </c>
      <c r="E5" s="169"/>
      <c r="F5" s="169"/>
      <c r="G5" s="10"/>
      <c r="H5" s="10"/>
      <c r="I5" s="164"/>
      <c r="J5" s="164"/>
      <c r="K5" s="164"/>
      <c r="L5" s="164"/>
      <c r="M5" s="164"/>
      <c r="N5" s="164"/>
      <c r="O5" s="164"/>
      <c r="P5" s="164"/>
      <c r="Q5" s="164"/>
    </row>
    <row r="6" spans="1:17" ht="27">
      <c r="A6" s="166" t="s">
        <v>882</v>
      </c>
      <c r="B6" s="165" t="s">
        <v>883</v>
      </c>
      <c r="C6" s="165">
        <v>2</v>
      </c>
      <c r="D6" s="165">
        <v>1</v>
      </c>
      <c r="E6" s="169"/>
      <c r="F6" s="169"/>
      <c r="G6" s="10"/>
      <c r="H6" s="10"/>
      <c r="I6" s="164"/>
      <c r="J6" s="164"/>
      <c r="K6" s="164"/>
      <c r="L6" s="164"/>
      <c r="M6" s="164"/>
      <c r="N6" s="164"/>
      <c r="O6" s="164"/>
      <c r="P6" s="164"/>
      <c r="Q6" s="164"/>
    </row>
    <row r="7" spans="1:17" ht="27">
      <c r="A7" s="166" t="s">
        <v>885</v>
      </c>
      <c r="B7" s="165" t="s">
        <v>886</v>
      </c>
      <c r="C7" s="165">
        <v>3</v>
      </c>
      <c r="D7" s="169"/>
      <c r="E7" s="165">
        <v>1</v>
      </c>
      <c r="F7" s="169"/>
      <c r="G7" s="10"/>
      <c r="H7" s="10"/>
      <c r="I7" s="164"/>
      <c r="J7" s="164"/>
      <c r="K7" s="164"/>
      <c r="L7" s="164"/>
      <c r="M7" s="164"/>
      <c r="N7" s="164"/>
      <c r="O7" s="164"/>
      <c r="P7" s="164"/>
      <c r="Q7" s="164"/>
    </row>
    <row r="8" spans="1:17" ht="27">
      <c r="A8" s="166" t="s">
        <v>887</v>
      </c>
      <c r="B8" s="165" t="s">
        <v>888</v>
      </c>
      <c r="C8" s="165">
        <v>1</v>
      </c>
      <c r="D8" s="169"/>
      <c r="E8" s="165">
        <v>1</v>
      </c>
      <c r="F8" s="169"/>
      <c r="G8" s="10"/>
      <c r="H8" s="10"/>
      <c r="I8" s="164"/>
      <c r="J8" s="164"/>
      <c r="K8" s="164"/>
      <c r="L8" s="164"/>
      <c r="M8" s="164"/>
      <c r="N8" s="164"/>
      <c r="O8" s="164"/>
      <c r="P8" s="164"/>
      <c r="Q8" s="164"/>
    </row>
    <row r="9" spans="1:17">
      <c r="A9" s="167"/>
      <c r="B9" s="168"/>
      <c r="C9" s="168"/>
      <c r="D9" s="168"/>
      <c r="E9" s="168"/>
      <c r="F9" s="168"/>
      <c r="G9" s="10"/>
      <c r="H9" s="10"/>
      <c r="I9" s="164"/>
      <c r="J9" s="164"/>
      <c r="K9" s="164"/>
      <c r="L9" s="164"/>
      <c r="M9" s="164"/>
      <c r="N9" s="164"/>
      <c r="O9" s="164"/>
      <c r="P9" s="164"/>
      <c r="Q9" s="164"/>
    </row>
    <row r="10" spans="1:17">
      <c r="A10" s="166"/>
      <c r="B10" s="165"/>
      <c r="C10" s="165"/>
      <c r="D10" s="165"/>
      <c r="E10" s="165"/>
      <c r="F10" s="165"/>
      <c r="G10" s="10"/>
      <c r="H10" s="10"/>
      <c r="I10" s="164"/>
      <c r="J10" s="164"/>
      <c r="K10" s="164"/>
      <c r="L10" s="164"/>
      <c r="M10" s="164"/>
      <c r="N10" s="164"/>
      <c r="O10" s="164"/>
      <c r="P10" s="164"/>
      <c r="Q10" s="164"/>
    </row>
    <row r="11" spans="1:17">
      <c r="A11" s="166"/>
      <c r="B11" s="165"/>
      <c r="C11" s="165"/>
      <c r="D11" s="165"/>
      <c r="E11" s="165"/>
      <c r="F11" s="165"/>
      <c r="G11" s="10"/>
      <c r="H11" s="10"/>
      <c r="I11" s="164"/>
      <c r="J11" s="164"/>
      <c r="K11" s="164"/>
      <c r="L11" s="164"/>
      <c r="M11" s="164"/>
      <c r="N11" s="164"/>
      <c r="O11" s="164"/>
      <c r="P11" s="164"/>
      <c r="Q11" s="164"/>
    </row>
    <row r="12" spans="1:17">
      <c r="A12" s="166"/>
      <c r="B12" s="165"/>
      <c r="C12" s="165"/>
      <c r="D12" s="165"/>
      <c r="E12" s="165"/>
      <c r="F12" s="165"/>
      <c r="G12" s="10"/>
      <c r="H12" s="10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1:17">
      <c r="A13" s="165"/>
      <c r="B13" s="165"/>
      <c r="C13" s="165"/>
      <c r="D13" s="165"/>
      <c r="E13" s="165"/>
      <c r="F13" s="165"/>
      <c r="G13" s="10"/>
      <c r="H13" s="10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7">
      <c r="A14" s="165"/>
      <c r="B14" s="165"/>
      <c r="C14" s="165"/>
      <c r="D14" s="165"/>
      <c r="E14" s="165"/>
      <c r="F14" s="165"/>
      <c r="G14" s="10"/>
      <c r="H14" s="10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7">
      <c r="A15" s="165"/>
      <c r="B15" s="165"/>
      <c r="C15" s="165"/>
      <c r="D15" s="165"/>
      <c r="E15" s="165"/>
      <c r="F15" s="165"/>
      <c r="G15" s="10"/>
      <c r="H15" s="10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7">
      <c r="A16" s="165"/>
      <c r="B16" s="165"/>
      <c r="C16" s="165"/>
      <c r="D16" s="165"/>
      <c r="E16" s="165"/>
      <c r="F16" s="165"/>
      <c r="G16" s="10"/>
      <c r="H16" s="10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1:17">
      <c r="A17" s="165"/>
      <c r="B17" s="165"/>
      <c r="C17" s="165"/>
      <c r="D17" s="165"/>
      <c r="E17" s="165"/>
      <c r="F17" s="165"/>
      <c r="G17" s="10"/>
      <c r="H17" s="10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7">
      <c r="A18" s="10"/>
      <c r="B18" s="10"/>
      <c r="C18" s="10"/>
      <c r="D18" s="10"/>
      <c r="E18" s="10"/>
      <c r="F18" s="10"/>
      <c r="G18" s="10"/>
      <c r="H18" s="10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>
      <c r="A19" s="10"/>
      <c r="B19" s="10"/>
      <c r="C19" s="10"/>
      <c r="D19" s="10"/>
      <c r="E19" s="10"/>
      <c r="F19" s="10"/>
      <c r="G19" s="10"/>
      <c r="H19" s="10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1:17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1:17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7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1:17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7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1:17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</row>
  </sheetData>
  <sheetProtection password="C6AC" sheet="1" objects="1" scenarios="1" selectLockedCells="1" selectUn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8"/>
  <dimension ref="A1:Q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/>
  <cols>
    <col min="1" max="1" width="24.7109375" style="148" customWidth="1"/>
    <col min="2" max="2" width="90.7109375" style="148" customWidth="1"/>
    <col min="3" max="6" width="6.7109375" style="148" customWidth="1"/>
    <col min="7" max="16384" width="9.140625" style="148"/>
  </cols>
  <sheetData>
    <row r="1" spans="1:17" ht="15.75">
      <c r="A1" s="46" t="s">
        <v>905</v>
      </c>
      <c r="B1" s="46" t="s">
        <v>876</v>
      </c>
      <c r="C1" s="46" t="s">
        <v>805</v>
      </c>
      <c r="D1" s="46" t="s">
        <v>806</v>
      </c>
      <c r="E1" s="46" t="s">
        <v>807</v>
      </c>
      <c r="F1" s="46" t="s">
        <v>808</v>
      </c>
      <c r="G1" s="10"/>
      <c r="H1" s="10"/>
      <c r="I1" s="164"/>
      <c r="J1" s="164"/>
      <c r="K1" s="164"/>
      <c r="L1" s="164"/>
      <c r="M1" s="164"/>
      <c r="N1" s="164"/>
      <c r="O1" s="164"/>
      <c r="P1" s="164"/>
      <c r="Q1" s="164"/>
    </row>
    <row r="2" spans="1:17" ht="27">
      <c r="A2" s="166" t="s">
        <v>889</v>
      </c>
      <c r="B2" s="165" t="s">
        <v>891</v>
      </c>
      <c r="C2" s="165">
        <v>1</v>
      </c>
      <c r="D2" s="165">
        <v>1</v>
      </c>
      <c r="E2" s="169"/>
      <c r="F2" s="169"/>
      <c r="G2" s="10"/>
      <c r="H2" s="10"/>
      <c r="I2" s="164"/>
      <c r="J2" s="164"/>
      <c r="K2" s="164"/>
      <c r="L2" s="164"/>
      <c r="M2" s="164"/>
      <c r="N2" s="164"/>
      <c r="O2" s="164"/>
      <c r="P2" s="164"/>
      <c r="Q2" s="164"/>
    </row>
    <row r="3" spans="1:17" ht="27">
      <c r="A3" s="166" t="s">
        <v>890</v>
      </c>
      <c r="B3" s="165" t="s">
        <v>891</v>
      </c>
      <c r="C3" s="165">
        <v>1</v>
      </c>
      <c r="D3" s="165">
        <v>1</v>
      </c>
      <c r="E3" s="169"/>
      <c r="F3" s="169"/>
      <c r="G3" s="10"/>
      <c r="H3" s="10"/>
      <c r="I3" s="164"/>
      <c r="J3" s="164"/>
      <c r="K3" s="164"/>
      <c r="L3" s="164"/>
      <c r="M3" s="164"/>
      <c r="N3" s="164"/>
      <c r="O3" s="164"/>
      <c r="P3" s="164"/>
      <c r="Q3" s="164"/>
    </row>
    <row r="4" spans="1:17" ht="27">
      <c r="A4" s="166" t="s">
        <v>892</v>
      </c>
      <c r="B4" s="165" t="s">
        <v>893</v>
      </c>
      <c r="C4" s="165">
        <v>3</v>
      </c>
      <c r="D4" s="169"/>
      <c r="E4" s="165">
        <v>1</v>
      </c>
      <c r="F4" s="169"/>
      <c r="G4" s="10"/>
      <c r="H4" s="10"/>
      <c r="I4" s="164"/>
      <c r="J4" s="164"/>
      <c r="K4" s="164"/>
      <c r="L4" s="164"/>
      <c r="M4" s="164"/>
      <c r="N4" s="164"/>
      <c r="O4" s="164"/>
      <c r="P4" s="164"/>
      <c r="Q4" s="164"/>
    </row>
    <row r="5" spans="1:17" ht="27">
      <c r="A5" s="166" t="s">
        <v>894</v>
      </c>
      <c r="B5" s="165" t="s">
        <v>895</v>
      </c>
      <c r="C5" s="165">
        <v>2</v>
      </c>
      <c r="D5" s="165">
        <v>1</v>
      </c>
      <c r="E5" s="169"/>
      <c r="F5" s="169"/>
      <c r="G5" s="10"/>
      <c r="H5" s="10"/>
      <c r="I5" s="164"/>
      <c r="J5" s="164"/>
      <c r="K5" s="164"/>
      <c r="L5" s="164"/>
      <c r="M5" s="164"/>
      <c r="N5" s="164"/>
      <c r="O5" s="164"/>
      <c r="P5" s="164"/>
      <c r="Q5" s="164"/>
    </row>
    <row r="6" spans="1:17" ht="27">
      <c r="A6" s="166" t="s">
        <v>896</v>
      </c>
      <c r="B6" s="165" t="s">
        <v>898</v>
      </c>
      <c r="C6" s="165">
        <v>2</v>
      </c>
      <c r="D6" s="169"/>
      <c r="E6" s="165">
        <v>1</v>
      </c>
      <c r="F6" s="169"/>
      <c r="G6" s="10"/>
      <c r="H6" s="10"/>
      <c r="I6" s="164"/>
      <c r="J6" s="164"/>
      <c r="K6" s="164"/>
      <c r="L6" s="164"/>
      <c r="M6" s="164"/>
      <c r="N6" s="164"/>
      <c r="O6" s="164"/>
      <c r="P6" s="164"/>
      <c r="Q6" s="164"/>
    </row>
    <row r="7" spans="1:17" ht="27">
      <c r="A7" s="166" t="s">
        <v>897</v>
      </c>
      <c r="B7" s="165" t="s">
        <v>898</v>
      </c>
      <c r="C7" s="165">
        <v>2</v>
      </c>
      <c r="D7" s="165">
        <v>1</v>
      </c>
      <c r="E7" s="169"/>
      <c r="F7" s="169"/>
      <c r="G7" s="10"/>
      <c r="H7" s="10"/>
      <c r="I7" s="164"/>
      <c r="J7" s="164"/>
      <c r="K7" s="164"/>
      <c r="L7" s="164"/>
      <c r="M7" s="164"/>
      <c r="N7" s="164"/>
      <c r="O7" s="164"/>
      <c r="P7" s="164"/>
      <c r="Q7" s="164"/>
    </row>
    <row r="8" spans="1:17" ht="40.5">
      <c r="A8" s="166" t="s">
        <v>899</v>
      </c>
      <c r="B8" s="165" t="s">
        <v>900</v>
      </c>
      <c r="C8" s="165">
        <v>1</v>
      </c>
      <c r="D8" s="165">
        <v>1</v>
      </c>
      <c r="E8" s="169"/>
      <c r="F8" s="169"/>
      <c r="G8" s="10"/>
      <c r="H8" s="10"/>
      <c r="I8" s="164"/>
      <c r="J8" s="164"/>
      <c r="K8" s="164"/>
      <c r="L8" s="164"/>
      <c r="M8" s="164"/>
      <c r="N8" s="164"/>
      <c r="O8" s="164"/>
      <c r="P8" s="164"/>
      <c r="Q8" s="164"/>
    </row>
    <row r="9" spans="1:17" ht="40.5">
      <c r="A9" s="166" t="s">
        <v>901</v>
      </c>
      <c r="B9" s="165" t="s">
        <v>902</v>
      </c>
      <c r="C9" s="165">
        <v>2</v>
      </c>
      <c r="D9" s="165">
        <v>1</v>
      </c>
      <c r="E9" s="169"/>
      <c r="F9" s="169"/>
      <c r="G9" s="10"/>
      <c r="H9" s="10"/>
      <c r="I9" s="164"/>
      <c r="J9" s="164"/>
      <c r="K9" s="164"/>
      <c r="L9" s="164"/>
      <c r="M9" s="164"/>
      <c r="N9" s="164"/>
      <c r="O9" s="164"/>
      <c r="P9" s="164"/>
      <c r="Q9" s="164"/>
    </row>
    <row r="10" spans="1:17" ht="54">
      <c r="A10" s="166" t="s">
        <v>903</v>
      </c>
      <c r="B10" s="165" t="s">
        <v>904</v>
      </c>
      <c r="C10" s="165">
        <v>3</v>
      </c>
      <c r="D10" s="169"/>
      <c r="E10" s="165">
        <v>1</v>
      </c>
      <c r="F10" s="169"/>
      <c r="G10" s="10"/>
      <c r="H10" s="10"/>
      <c r="I10" s="164"/>
      <c r="J10" s="164"/>
      <c r="K10" s="164"/>
      <c r="L10" s="164"/>
      <c r="M10" s="164"/>
      <c r="N10" s="164"/>
      <c r="O10" s="164"/>
      <c r="P10" s="164"/>
      <c r="Q10" s="164"/>
    </row>
    <row r="11" spans="1:17">
      <c r="A11" s="167"/>
      <c r="B11" s="168"/>
      <c r="C11" s="168"/>
      <c r="D11" s="168"/>
      <c r="E11" s="168"/>
      <c r="F11" s="168"/>
      <c r="G11" s="10"/>
      <c r="H11" s="10"/>
      <c r="I11" s="164"/>
      <c r="J11" s="164"/>
      <c r="K11" s="164"/>
      <c r="L11" s="164"/>
      <c r="M11" s="164"/>
      <c r="N11" s="164"/>
      <c r="O11" s="164"/>
      <c r="P11" s="164"/>
      <c r="Q11" s="164"/>
    </row>
    <row r="12" spans="1:17">
      <c r="A12" s="166"/>
      <c r="B12" s="165"/>
      <c r="C12" s="165"/>
      <c r="D12" s="165"/>
      <c r="E12" s="165"/>
      <c r="F12" s="165"/>
      <c r="G12" s="10"/>
      <c r="H12" s="10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1:17">
      <c r="A13" s="166"/>
      <c r="B13" s="165"/>
      <c r="C13" s="165"/>
      <c r="D13" s="165"/>
      <c r="E13" s="165"/>
      <c r="F13" s="165"/>
      <c r="G13" s="10"/>
      <c r="H13" s="10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7">
      <c r="A14" s="166"/>
      <c r="B14" s="165"/>
      <c r="C14" s="165"/>
      <c r="D14" s="165"/>
      <c r="E14" s="165"/>
      <c r="F14" s="165"/>
      <c r="G14" s="10"/>
      <c r="H14" s="10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7">
      <c r="A15" s="165"/>
      <c r="B15" s="165"/>
      <c r="C15" s="165"/>
      <c r="D15" s="165"/>
      <c r="E15" s="165"/>
      <c r="F15" s="165"/>
      <c r="G15" s="10"/>
      <c r="H15" s="10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7">
      <c r="A16" s="165"/>
      <c r="B16" s="165"/>
      <c r="C16" s="165"/>
      <c r="D16" s="165"/>
      <c r="E16" s="165"/>
      <c r="F16" s="165"/>
      <c r="G16" s="10"/>
      <c r="H16" s="10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1:17">
      <c r="A17" s="165"/>
      <c r="B17" s="165"/>
      <c r="C17" s="165"/>
      <c r="D17" s="165"/>
      <c r="E17" s="165"/>
      <c r="F17" s="165"/>
      <c r="G17" s="10"/>
      <c r="H17" s="10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7">
      <c r="A18" s="165"/>
      <c r="B18" s="165"/>
      <c r="C18" s="165"/>
      <c r="D18" s="165"/>
      <c r="E18" s="165"/>
      <c r="F18" s="165"/>
      <c r="G18" s="10"/>
      <c r="H18" s="10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>
      <c r="A19" s="165"/>
      <c r="B19" s="165"/>
      <c r="C19" s="165"/>
      <c r="D19" s="165"/>
      <c r="E19" s="165"/>
      <c r="F19" s="165"/>
      <c r="G19" s="10"/>
      <c r="H19" s="10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1:17">
      <c r="A20" s="10"/>
      <c r="B20" s="10"/>
      <c r="C20" s="10"/>
      <c r="D20" s="10"/>
      <c r="E20" s="10"/>
      <c r="F20" s="10"/>
      <c r="G20" s="10"/>
      <c r="H20" s="10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1:17">
      <c r="A21" s="10"/>
      <c r="B21" s="10"/>
      <c r="C21" s="10"/>
      <c r="D21" s="10"/>
      <c r="E21" s="10"/>
      <c r="F21" s="10"/>
      <c r="G21" s="10"/>
      <c r="H21" s="10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7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1:17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7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1:17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</row>
    <row r="26" spans="1:17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</row>
  </sheetData>
  <sheetProtection password="C6AC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174</vt:i4>
      </vt:variant>
    </vt:vector>
  </HeadingPairs>
  <TitlesOfParts>
    <vt:vector size="183" baseType="lpstr">
      <vt:lpstr>Karakteralkotás</vt:lpstr>
      <vt:lpstr>Kép</vt:lpstr>
      <vt:lpstr>Karakterlap</vt:lpstr>
      <vt:lpstr>Csillagjegyek</vt:lpstr>
      <vt:lpstr>Származás</vt:lpstr>
      <vt:lpstr>Neveltetés</vt:lpstr>
      <vt:lpstr>Motivációk</vt:lpstr>
      <vt:lpstr>Kalandok</vt:lpstr>
      <vt:lpstr>E-H-K</vt:lpstr>
      <vt:lpstr>acélkéz</vt:lpstr>
      <vt:lpstr>acélláb</vt:lpstr>
      <vt:lpstr>akaraterő</vt:lpstr>
      <vt:lpstr>alap_CÉ</vt:lpstr>
      <vt:lpstr>alap_KÉ</vt:lpstr>
      <vt:lpstr>alap_TÉ</vt:lpstr>
      <vt:lpstr>alap_VÉ</vt:lpstr>
      <vt:lpstr>alappont_ár</vt:lpstr>
      <vt:lpstr>állóképesség</vt:lpstr>
      <vt:lpstr>amazon</vt:lpstr>
      <vt:lpstr>amund_köz</vt:lpstr>
      <vt:lpstr>amund_pap</vt:lpstr>
      <vt:lpstr>árnyvadász</vt:lpstr>
      <vt:lpstr>asztrál</vt:lpstr>
      <vt:lpstr>bajvívó_iskolák</vt:lpstr>
      <vt:lpstr>bajvívók</vt:lpstr>
      <vt:lpstr>barbár</vt:lpstr>
      <vt:lpstr>barbár_kasztok</vt:lpstr>
      <vt:lpstr>CÉ_alap</vt:lpstr>
      <vt:lpstr>célzó</vt:lpstr>
      <vt:lpstr>csillagjegyek</vt:lpstr>
      <vt:lpstr>Den_Aliud</vt:lpstr>
      <vt:lpstr>dobásátlagok</vt:lpstr>
      <vt:lpstr>dobások</vt:lpstr>
      <vt:lpstr>Dp_vagyon</vt:lpstr>
      <vt:lpstr>dzsenn</vt:lpstr>
      <vt:lpstr>edorli_gyalogos</vt:lpstr>
      <vt:lpstr>egészség</vt:lpstr>
      <vt:lpstr>egyedi</vt:lpstr>
      <vt:lpstr>eldontendo</vt:lpstr>
      <vt:lpstr>elf</vt:lpstr>
      <vt:lpstr>előnyök</vt:lpstr>
      <vt:lpstr>előnyök_száma</vt:lpstr>
      <vt:lpstr>ember</vt:lpstr>
      <vt:lpstr>erő</vt:lpstr>
      <vt:lpstr>érzékelés</vt:lpstr>
      <vt:lpstr>évek</vt:lpstr>
      <vt:lpstr>extraHM</vt:lpstr>
      <vt:lpstr>extraKp</vt:lpstr>
      <vt:lpstr>faji_képességek</vt:lpstr>
      <vt:lpstr>fajimaximumok</vt:lpstr>
      <vt:lpstr>fajiminimumok</vt:lpstr>
      <vt:lpstr>fajiminmax</vt:lpstr>
      <vt:lpstr>fajok</vt:lpstr>
      <vt:lpstr>fegyverek</vt:lpstr>
      <vt:lpstr>fegyvertelenCÉ</vt:lpstr>
      <vt:lpstr>fegyvertelenKÉ</vt:lpstr>
      <vt:lpstr>fegyvertelenTÉ</vt:lpstr>
      <vt:lpstr>fegyvertelenVÉ</vt:lpstr>
      <vt:lpstr>fejvadász</vt:lpstr>
      <vt:lpstr>félelf</vt:lpstr>
      <vt:lpstr>felhasználhatóTp</vt:lpstr>
      <vt:lpstr>felosztottHM</vt:lpstr>
      <vt:lpstr>felvett_előnyök_1</vt:lpstr>
      <vt:lpstr>felvett_előnyök_2</vt:lpstr>
      <vt:lpstr>felvett_hátrányok_1</vt:lpstr>
      <vt:lpstr>felvett_hátrányok_2</vt:lpstr>
      <vt:lpstr>felvett_képzések</vt:lpstr>
      <vt:lpstr>gladiátor</vt:lpstr>
      <vt:lpstr>gyorsaság</vt:lpstr>
      <vt:lpstr>harciKp</vt:lpstr>
      <vt:lpstr>harcművész</vt:lpstr>
      <vt:lpstr>harcművész_iskolák</vt:lpstr>
      <vt:lpstr>harcos</vt:lpstr>
      <vt:lpstr>hátrányok</vt:lpstr>
      <vt:lpstr>hátrányok_száma</vt:lpstr>
      <vt:lpstr>hegyi_barbár</vt:lpstr>
      <vt:lpstr>HM_CÉ</vt:lpstr>
      <vt:lpstr>HM_kaszt</vt:lpstr>
      <vt:lpstr>HM_KÉ</vt:lpstr>
      <vt:lpstr>HM_TÉ</vt:lpstr>
      <vt:lpstr>HM_VÉ</vt:lpstr>
      <vt:lpstr>iker_kaszt</vt:lpstr>
      <vt:lpstr>ikerváltott</vt:lpstr>
      <vt:lpstr>ilanori_vágtató</vt:lpstr>
      <vt:lpstr>ingyen_iskola</vt:lpstr>
      <vt:lpstr>intelligencia</vt:lpstr>
      <vt:lpstr>jellemek</vt:lpstr>
      <vt:lpstr>k6dobás</vt:lpstr>
      <vt:lpstr>kaland_vagyon</vt:lpstr>
      <vt:lpstr>kalandok</vt:lpstr>
      <vt:lpstr>karakter_Dp</vt:lpstr>
      <vt:lpstr>kardművész</vt:lpstr>
      <vt:lpstr>kaszt_szint_1</vt:lpstr>
      <vt:lpstr>kaszt_szint_2</vt:lpstr>
      <vt:lpstr>kasztok</vt:lpstr>
      <vt:lpstr>kategóriák</vt:lpstr>
      <vt:lpstr>KÉ_alap</vt:lpstr>
      <vt:lpstr>kf_pont_ár</vt:lpstr>
      <vt:lpstr>khál</vt:lpstr>
      <vt:lpstr>kor</vt:lpstr>
      <vt:lpstr>korkategóriák</vt:lpstr>
      <vt:lpstr>korleírás</vt:lpstr>
      <vt:lpstr>kormax</vt:lpstr>
      <vt:lpstr>kormin</vt:lpstr>
      <vt:lpstr>kormódosítók</vt:lpstr>
      <vt:lpstr>kötelező_CÉ</vt:lpstr>
      <vt:lpstr>kötelező_KÉ</vt:lpstr>
      <vt:lpstr>kötelező_TÉ</vt:lpstr>
      <vt:lpstr>kötelező_VÉ</vt:lpstr>
      <vt:lpstr>Kpkeret</vt:lpstr>
      <vt:lpstr>Kpkonverzió</vt:lpstr>
      <vt:lpstr>különleges_képzések</vt:lpstr>
      <vt:lpstr>leutaril</vt:lpstr>
      <vt:lpstr>lovag</vt:lpstr>
      <vt:lpstr>MaxMp</vt:lpstr>
      <vt:lpstr>MaxPszi</vt:lpstr>
      <vt:lpstr>motivációk</vt:lpstr>
      <vt:lpstr>mp_ár</vt:lpstr>
      <vt:lpstr>nasti_könnyűlovas</vt:lpstr>
      <vt:lpstr>neveltetések</vt:lpstr>
      <vt:lpstr>nincsen</vt:lpstr>
      <vt:lpstr>Noir_Bálványtagadó</vt:lpstr>
      <vt:lpstr>Noir_Befogadott</vt:lpstr>
      <vt:lpstr>nomád_harcos</vt:lpstr>
      <vt:lpstr>nomád_kasztok</vt:lpstr>
      <vt:lpstr>nomád_sámán</vt:lpstr>
      <vt:lpstr>nyelvek</vt:lpstr>
      <vt:lpstr>nyelvKp</vt:lpstr>
      <vt:lpstr>Karakteralkotás!Nyomtatási_terület</vt:lpstr>
      <vt:lpstr>osztható_HM</vt:lpstr>
      <vt:lpstr>osztottszázalék</vt:lpstr>
      <vt:lpstr>ököl</vt:lpstr>
      <vt:lpstr>ősinyelvek</vt:lpstr>
      <vt:lpstr>ősinyelvKp</vt:lpstr>
      <vt:lpstr>pénzTp</vt:lpstr>
      <vt:lpstr>pénzváltás</vt:lpstr>
      <vt:lpstr>pszi_ár</vt:lpstr>
      <vt:lpstr>pszi_iskola_1</vt:lpstr>
      <vt:lpstr>pszi_iskola_2</vt:lpstr>
      <vt:lpstr>pszi_kaszt_1</vt:lpstr>
      <vt:lpstr>pszi_kaszt_2</vt:lpstr>
      <vt:lpstr>pszi_mester</vt:lpstr>
      <vt:lpstr>pszi_választás</vt:lpstr>
      <vt:lpstr>PsziIskola</vt:lpstr>
      <vt:lpstr>PsziKp</vt:lpstr>
      <vt:lpstr>pszitipusok</vt:lpstr>
      <vt:lpstr>pyarroni</vt:lpstr>
      <vt:lpstr>ramkir</vt:lpstr>
      <vt:lpstr>rhó</vt:lpstr>
      <vt:lpstr>shenar</vt:lpstr>
      <vt:lpstr>származások</vt:lpstr>
      <vt:lpstr>szépség</vt:lpstr>
      <vt:lpstr>szerzett_Dp</vt:lpstr>
      <vt:lpstr>tanultAfkaszt</vt:lpstr>
      <vt:lpstr>tanultAfTSZ</vt:lpstr>
      <vt:lpstr>tanultMfkaszt</vt:lpstr>
      <vt:lpstr>tanultMfTSZ</vt:lpstr>
      <vt:lpstr>tapasztaltharcos</vt:lpstr>
      <vt:lpstr>TÉ_alap</vt:lpstr>
      <vt:lpstr>tomatis</vt:lpstr>
      <vt:lpstr>többes_kaszt</vt:lpstr>
      <vt:lpstr>törpe</vt:lpstr>
      <vt:lpstr>tudományosKp</vt:lpstr>
      <vt:lpstr>tulajdonság_átlagok</vt:lpstr>
      <vt:lpstr>tulajdonságátlag</vt:lpstr>
      <vt:lpstr>tulajdonságok</vt:lpstr>
      <vt:lpstr>udvari_ork</vt:lpstr>
      <vt:lpstr>ügyesség</vt:lpstr>
      <vt:lpstr>választott_csillagjegy</vt:lpstr>
      <vt:lpstr>választott_faj</vt:lpstr>
      <vt:lpstr>választott_kaszt_1</vt:lpstr>
      <vt:lpstr>választott_kaszt_2</vt:lpstr>
      <vt:lpstr>választott_kasztok</vt:lpstr>
      <vt:lpstr>választott_korketegória</vt:lpstr>
      <vt:lpstr>választottpáncél</vt:lpstr>
      <vt:lpstr>váltás_kezdet</vt:lpstr>
      <vt:lpstr>váltott_HM_szint</vt:lpstr>
      <vt:lpstr>váltott_kaszt</vt:lpstr>
      <vt:lpstr>VÉ_alap</vt:lpstr>
      <vt:lpstr>vértek</vt:lpstr>
      <vt:lpstr>világi_képzettségek</vt:lpstr>
      <vt:lpstr>világiKp</vt:lpstr>
      <vt:lpstr>yllinori_sas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Kalandozok.hu</dc:creator>
  <cp:lastModifiedBy>Czitler Sándor</cp:lastModifiedBy>
  <cp:lastPrinted>2019-02-25T16:43:07Z</cp:lastPrinted>
  <dcterms:created xsi:type="dcterms:W3CDTF">2011-12-05T08:48:46Z</dcterms:created>
  <dcterms:modified xsi:type="dcterms:W3CDTF">2019-03-05T17:48:11Z</dcterms:modified>
</cp:coreProperties>
</file>