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/>
  </bookViews>
  <sheets>
    <sheet name="Karakterlap" sheetId="1" r:id="rId1"/>
    <sheet name="Szabályok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AL6" i="1" l="1"/>
  <c r="AL5" i="1"/>
  <c r="AL4" i="1"/>
  <c r="AL3" i="1"/>
  <c r="X15" i="1" l="1"/>
  <c r="I42" i="1" l="1"/>
  <c r="I48" i="1"/>
  <c r="I10" i="1"/>
  <c r="I3" i="1"/>
  <c r="I20" i="1"/>
  <c r="W29" i="1" l="1"/>
  <c r="W28" i="1"/>
  <c r="W27" i="1"/>
  <c r="W26" i="1"/>
  <c r="W25" i="1"/>
  <c r="W24" i="1"/>
  <c r="X25" i="1"/>
  <c r="AL24" i="1" l="1"/>
  <c r="AL25" i="1"/>
  <c r="AL26" i="1"/>
  <c r="AL23" i="1"/>
  <c r="AL20" i="1"/>
  <c r="AL21" i="1"/>
  <c r="AL22" i="1"/>
  <c r="AL19" i="1"/>
  <c r="AL16" i="1"/>
  <c r="AL17" i="1"/>
  <c r="AL18" i="1"/>
  <c r="AL15" i="1"/>
  <c r="AL12" i="1"/>
  <c r="AL13" i="1"/>
  <c r="AL14" i="1"/>
  <c r="AL11" i="1"/>
  <c r="AL8" i="1"/>
  <c r="AL9" i="1"/>
  <c r="AL10" i="1"/>
  <c r="AL7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4" i="1"/>
  <c r="AK5" i="1"/>
  <c r="AK6" i="1"/>
  <c r="AK3" i="1"/>
  <c r="D13" i="1"/>
  <c r="D12" i="1"/>
  <c r="D9" i="1"/>
  <c r="D10" i="1"/>
  <c r="D11" i="1"/>
  <c r="D8" i="1"/>
  <c r="P3" i="1" l="1"/>
  <c r="W4" i="1"/>
  <c r="X5" i="1"/>
  <c r="X6" i="1"/>
  <c r="X7" i="1"/>
  <c r="X9" i="1"/>
  <c r="X4" i="1"/>
  <c r="D5" i="1" l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D2" i="1"/>
  <c r="AC2" i="1" s="1"/>
  <c r="AC3" i="1"/>
  <c r="W20" i="1"/>
  <c r="J15" i="1"/>
  <c r="J7" i="1"/>
  <c r="D24" i="1"/>
  <c r="X42" i="1"/>
  <c r="X77" i="1"/>
  <c r="X63" i="1"/>
  <c r="X13" i="1"/>
  <c r="X14" i="1"/>
  <c r="Q75" i="1"/>
  <c r="Q97" i="1"/>
  <c r="Q63" i="1"/>
  <c r="Q65" i="1"/>
  <c r="Q95" i="1"/>
  <c r="Q96" i="1"/>
  <c r="Q16" i="1"/>
  <c r="Q5" i="1"/>
  <c r="Q4" i="1"/>
  <c r="Q27" i="1"/>
  <c r="Q26" i="1"/>
  <c r="X85" i="1" l="1"/>
  <c r="W85" i="1"/>
  <c r="X84" i="1"/>
  <c r="W84" i="1"/>
  <c r="W83" i="1"/>
  <c r="X82" i="1"/>
  <c r="W82" i="1"/>
  <c r="X81" i="1"/>
  <c r="W81" i="1"/>
  <c r="W80" i="1"/>
  <c r="X79" i="1"/>
  <c r="W79" i="1"/>
  <c r="X78" i="1"/>
  <c r="W78" i="1"/>
  <c r="W77" i="1"/>
  <c r="W76" i="1"/>
  <c r="X75" i="1"/>
  <c r="W75" i="1"/>
  <c r="X74" i="1"/>
  <c r="W74" i="1"/>
  <c r="X73" i="1"/>
  <c r="W73" i="1"/>
  <c r="W72" i="1"/>
  <c r="X71" i="1"/>
  <c r="W71" i="1"/>
  <c r="X70" i="1"/>
  <c r="W70" i="1"/>
  <c r="X69" i="1"/>
  <c r="W69" i="1"/>
  <c r="W68" i="1"/>
  <c r="X67" i="1"/>
  <c r="W67" i="1"/>
  <c r="X66" i="1"/>
  <c r="W66" i="1"/>
  <c r="X65" i="1"/>
  <c r="W65" i="1"/>
  <c r="X64" i="1"/>
  <c r="W64" i="1"/>
  <c r="W63" i="1"/>
  <c r="W62" i="1"/>
  <c r="X61" i="1"/>
  <c r="W61" i="1"/>
  <c r="X60" i="1"/>
  <c r="W60" i="1"/>
  <c r="W59" i="1"/>
  <c r="Q6" i="1"/>
  <c r="X58" i="1"/>
  <c r="W58" i="1"/>
  <c r="X57" i="1"/>
  <c r="W57" i="1"/>
  <c r="X56" i="1"/>
  <c r="W56" i="1"/>
  <c r="X55" i="1"/>
  <c r="W55" i="1"/>
  <c r="W54" i="1"/>
  <c r="X53" i="1"/>
  <c r="W53" i="1"/>
  <c r="X52" i="1"/>
  <c r="W52" i="1"/>
  <c r="W51" i="1"/>
  <c r="X50" i="1"/>
  <c r="W50" i="1"/>
  <c r="X49" i="1"/>
  <c r="W49" i="1"/>
  <c r="X48" i="1"/>
  <c r="W48" i="1"/>
  <c r="W47" i="1"/>
  <c r="X46" i="1"/>
  <c r="W46" i="1"/>
  <c r="X45" i="1"/>
  <c r="W45" i="1"/>
  <c r="X44" i="1"/>
  <c r="W44" i="1"/>
  <c r="X43" i="1"/>
  <c r="W43" i="1"/>
  <c r="W42" i="1"/>
  <c r="W41" i="1"/>
  <c r="X40" i="1"/>
  <c r="W40" i="1"/>
  <c r="X39" i="1"/>
  <c r="W39" i="1"/>
  <c r="X38" i="1"/>
  <c r="W38" i="1"/>
  <c r="X37" i="1"/>
  <c r="W37" i="1"/>
  <c r="X36" i="1"/>
  <c r="W36" i="1"/>
  <c r="X35" i="1"/>
  <c r="W35" i="1"/>
  <c r="X34" i="1"/>
  <c r="W34" i="1"/>
  <c r="X33" i="1"/>
  <c r="W33" i="1"/>
  <c r="X32" i="1"/>
  <c r="W32" i="1"/>
  <c r="X31" i="1"/>
  <c r="W31" i="1"/>
  <c r="W30" i="1"/>
  <c r="X29" i="1"/>
  <c r="X28" i="1"/>
  <c r="X27" i="1"/>
  <c r="X26" i="1"/>
  <c r="X23" i="1"/>
  <c r="W23" i="1"/>
  <c r="X22" i="1"/>
  <c r="W22" i="1"/>
  <c r="X21" i="1"/>
  <c r="W21" i="1"/>
  <c r="X20" i="1"/>
  <c r="X19" i="1"/>
  <c r="W19" i="1"/>
  <c r="X18" i="1"/>
  <c r="W18" i="1"/>
  <c r="X17" i="1"/>
  <c r="W17" i="1"/>
  <c r="W16" i="1"/>
  <c r="X16" i="1"/>
  <c r="W15" i="1"/>
  <c r="W14" i="1"/>
  <c r="W13" i="1"/>
  <c r="X12" i="1"/>
  <c r="W12" i="1"/>
  <c r="W11" i="1"/>
  <c r="W3" i="1"/>
  <c r="X10" i="1"/>
  <c r="W10" i="1"/>
  <c r="W9" i="1"/>
  <c r="X8" i="1"/>
  <c r="W8" i="1"/>
  <c r="W7" i="1"/>
  <c r="W6" i="1"/>
  <c r="W5" i="1"/>
  <c r="Q119" i="1"/>
  <c r="P118" i="1"/>
  <c r="I30" i="1"/>
  <c r="Q123" i="1"/>
  <c r="P123" i="1"/>
  <c r="Q122" i="1"/>
  <c r="P122" i="1"/>
  <c r="Q121" i="1"/>
  <c r="P121" i="1"/>
  <c r="Q120" i="1"/>
  <c r="P120" i="1"/>
  <c r="P119" i="1"/>
  <c r="Q117" i="1"/>
  <c r="P117" i="1"/>
  <c r="Q116" i="1"/>
  <c r="P116" i="1"/>
  <c r="P113" i="1"/>
  <c r="P114" i="1"/>
  <c r="P115" i="1"/>
  <c r="P112" i="1"/>
  <c r="Q115" i="1"/>
  <c r="Q114" i="1"/>
  <c r="Q113" i="1"/>
  <c r="Q112" i="1"/>
  <c r="Q111" i="1"/>
  <c r="P111" i="1"/>
  <c r="Q110" i="1"/>
  <c r="P110" i="1"/>
  <c r="Q109" i="1"/>
  <c r="P109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P97" i="1"/>
  <c r="P96" i="1"/>
  <c r="P95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P75" i="1"/>
  <c r="Q74" i="1"/>
  <c r="P74" i="1"/>
  <c r="Q73" i="1"/>
  <c r="P73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P65" i="1"/>
  <c r="Q64" i="1"/>
  <c r="P64" i="1"/>
  <c r="P63" i="1"/>
  <c r="Q62" i="1"/>
  <c r="P62" i="1"/>
  <c r="P61" i="1"/>
  <c r="J44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P52" i="1"/>
  <c r="J43" i="1"/>
  <c r="Q51" i="1"/>
  <c r="P51" i="1"/>
  <c r="Q50" i="1"/>
  <c r="P50" i="1"/>
  <c r="Q49" i="1"/>
  <c r="P49" i="1"/>
  <c r="P48" i="1"/>
  <c r="J18" i="1"/>
  <c r="J14" i="1"/>
  <c r="P45" i="1" l="1"/>
  <c r="P46" i="1"/>
  <c r="P47" i="1"/>
  <c r="P44" i="1"/>
  <c r="Q44" i="1"/>
  <c r="Q45" i="1"/>
  <c r="Q46" i="1"/>
  <c r="Q47" i="1"/>
  <c r="Q41" i="1"/>
  <c r="Q42" i="1"/>
  <c r="Q43" i="1"/>
  <c r="Q40" i="1"/>
  <c r="Q39" i="1"/>
  <c r="P38" i="1"/>
  <c r="P40" i="1"/>
  <c r="P41" i="1"/>
  <c r="P42" i="1"/>
  <c r="P43" i="1"/>
  <c r="P39" i="1"/>
  <c r="Q29" i="1" l="1"/>
  <c r="Q30" i="1"/>
  <c r="Q31" i="1"/>
  <c r="Q32" i="1"/>
  <c r="Q33" i="1"/>
  <c r="Q34" i="1"/>
  <c r="Q35" i="1"/>
  <c r="Q36" i="1"/>
  <c r="Q37" i="1"/>
  <c r="Q28" i="1"/>
  <c r="Q20" i="1"/>
  <c r="Q21" i="1"/>
  <c r="Q22" i="1"/>
  <c r="Q23" i="1"/>
  <c r="Q24" i="1"/>
  <c r="Q19" i="1"/>
  <c r="Q8" i="1"/>
  <c r="Q9" i="1"/>
  <c r="Q10" i="1"/>
  <c r="Q11" i="1"/>
  <c r="Q12" i="1"/>
  <c r="Q13" i="1"/>
  <c r="Q7" i="1"/>
  <c r="J16" i="1" l="1"/>
  <c r="P29" i="1"/>
  <c r="P30" i="1"/>
  <c r="P31" i="1"/>
  <c r="P32" i="1"/>
  <c r="P33" i="1"/>
  <c r="P34" i="1"/>
  <c r="P35" i="1"/>
  <c r="P36" i="1"/>
  <c r="P37" i="1"/>
  <c r="P28" i="1"/>
  <c r="P20" i="1"/>
  <c r="P21" i="1"/>
  <c r="P22" i="1"/>
  <c r="P23" i="1"/>
  <c r="P24" i="1"/>
  <c r="P8" i="1"/>
  <c r="P9" i="1"/>
  <c r="P10" i="1"/>
  <c r="P11" i="1"/>
  <c r="P12" i="1"/>
  <c r="P13" i="1"/>
  <c r="P7" i="1"/>
  <c r="P19" i="1"/>
  <c r="P25" i="1"/>
  <c r="P14" i="1"/>
  <c r="P27" i="1"/>
  <c r="P26" i="1"/>
  <c r="Q18" i="1"/>
  <c r="Q17" i="1"/>
  <c r="Q15" i="1"/>
  <c r="P18" i="1"/>
  <c r="P17" i="1"/>
  <c r="P16" i="1"/>
  <c r="P15" i="1"/>
  <c r="J50" i="1"/>
  <c r="J49" i="1"/>
  <c r="J48" i="1"/>
  <c r="J35" i="1"/>
  <c r="J40" i="1"/>
  <c r="J42" i="1"/>
  <c r="J41" i="1"/>
  <c r="I21" i="1"/>
  <c r="J8" i="1"/>
  <c r="J39" i="1"/>
  <c r="J36" i="1"/>
  <c r="J34" i="1"/>
  <c r="I4" i="1"/>
  <c r="J33" i="1"/>
  <c r="I34" i="1"/>
  <c r="I13" i="1"/>
  <c r="J22" i="1"/>
  <c r="J21" i="1"/>
  <c r="J20" i="1"/>
  <c r="J19" i="1"/>
  <c r="J10" i="1"/>
  <c r="J3" i="1"/>
  <c r="J13" i="1"/>
  <c r="J12" i="1"/>
  <c r="J11" i="1"/>
  <c r="J9" i="1"/>
  <c r="J5" i="1"/>
  <c r="J4" i="1"/>
  <c r="J6" i="1"/>
  <c r="I33" i="1" l="1"/>
  <c r="P5" i="1"/>
  <c r="P6" i="1"/>
  <c r="P4" i="1"/>
  <c r="I50" i="1"/>
  <c r="I49" i="1"/>
  <c r="I15" i="1"/>
  <c r="I41" i="1"/>
  <c r="I47" i="1"/>
  <c r="I46" i="1"/>
  <c r="I45" i="1"/>
  <c r="I44" i="1"/>
  <c r="I43" i="1"/>
  <c r="I11" i="1"/>
  <c r="I40" i="1"/>
  <c r="I39" i="1"/>
  <c r="I36" i="1"/>
  <c r="I35" i="1"/>
  <c r="I22" i="1"/>
  <c r="I32" i="1"/>
  <c r="I31" i="1"/>
  <c r="I29" i="1"/>
  <c r="I24" i="1"/>
  <c r="I28" i="1"/>
  <c r="I27" i="1"/>
  <c r="I26" i="1"/>
  <c r="I25" i="1"/>
  <c r="I23" i="1"/>
  <c r="I18" i="1"/>
  <c r="I19" i="1"/>
  <c r="I14" i="1"/>
  <c r="I12" i="1"/>
  <c r="I9" i="1"/>
  <c r="I8" i="1"/>
  <c r="I7" i="1"/>
  <c r="I6" i="1"/>
  <c r="I5" i="1"/>
  <c r="B31" i="1"/>
  <c r="D31" i="1" s="1"/>
  <c r="B30" i="1"/>
  <c r="D30" i="1" s="1"/>
  <c r="B29" i="1"/>
  <c r="D29" i="1" s="1"/>
  <c r="B28" i="1"/>
  <c r="D28" i="1" s="1"/>
  <c r="B27" i="1"/>
  <c r="D27" i="1" s="1"/>
  <c r="B1" i="1" l="1"/>
</calcChain>
</file>

<file path=xl/comments1.xml><?xml version="1.0" encoding="utf-8"?>
<comments xmlns="http://schemas.openxmlformats.org/spreadsheetml/2006/main">
  <authors>
    <author>Szerző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Írj be 1-est a Szint oszlopba, ha fel szeretnéd venni az előnyt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Ha 1 szintje van csak 1-est írj be</t>
        </r>
      </text>
    </comment>
    <comment ref="N1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Fő képzettségekhez hafelveszed tegyél 1-est, más számot NE!
</t>
        </r>
      </text>
    </comment>
    <comment ref="Q1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Nem mehet 3 fölé
</t>
        </r>
      </text>
    </comment>
    <comment ref="X1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Nem mehet 3 fölé</t>
        </r>
      </text>
    </comment>
    <comment ref="AB1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Opcionális szabályként mesterfortélyként lehet vásárolni varázsfortélyokat (Nem hivatalos szabály)</t>
        </r>
      </text>
    </comment>
    <comment ref="M3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Ha felvetted tegyél egy 1-est a szinthez
</t>
        </r>
      </text>
    </comment>
    <comment ref="A4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A kiválasztott varázserőhöz írj 1-et, csak 1-et választhatsz
</t>
        </r>
      </text>
    </comment>
    <comment ref="B4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7 pont a varázsfortélyokra
Maximum fortély szint: 5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3 pont a varázsfortélyokra
Maximum fortély szint: 3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3-3 pont mindkét varázsfortélyra
Maximum fortély szint: 3
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>Szerző:
CSAK EISENI VEHETI FEL!</t>
        </r>
        <r>
          <rPr>
            <sz val="9"/>
            <color indexed="81"/>
            <rFont val="Tahoma"/>
            <family val="2"/>
            <charset val="238"/>
          </rPr>
          <t xml:space="preserve">
1= 20HP, 6 pontnyi Dracheneisen
2= 40 HP, 16 pontnyi Dracheneisen
Szabályok a másik lapon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238"/>
          </rPr>
          <t>Szerző:
Csak kasztílliai veheti fel!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Azt írd bá ahány szintnyi Fortélyt ilyen módon fel akarsz venni
</t>
        </r>
      </text>
    </comment>
    <comment ref="A17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A kiválasztott nemzetiséghez írj 1-et, Csak egyet választhatsz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Azt írd bá ahány szintnyi Fortélyt ilyen módon fel akarsz venni</t>
        </r>
      </text>
    </comment>
    <comment ref="A26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Nem mehet 3 fölé egy jellemző sem, nemzeti járulékkal 4 fölé!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Maximum 2 pont / Jellemző</t>
        </r>
      </text>
    </comment>
    <comment ref="A34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1-et lehet választani az alábbiakból, írj egy 1-est ha kiválasztod.
Erény 10 pontba kerül
Gyarlóság 10 pontot ad</t>
        </r>
      </text>
    </comment>
    <comment ref="B34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charset val="1"/>
          </rPr>
          <t xml:space="preserve">
Ha van Gyarlóságod, nem vehetsz fel erényt!</t>
        </r>
      </text>
    </comment>
    <comment ref="D34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charset val="1"/>
          </rPr>
          <t xml:space="preserve">
Ha van Erényed, nem vehetsz fel Gyarlóságot
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Minden nyelvre külön kell felvenni. Annyi írj be ahány nyelvre fel szeretnéd venni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Összesen annyi lehet amekkora a kisugrázásod.
Írd be a darabszámot minden szinthez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Összesen annyi lehet amekkora a kisugrázásod.
Írd be a darabszámot minden szinthez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Összesen annyi lehet amekkora a kisugrázásod.
Írd be a darabszámot minden szinthez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Már meglévő összeköttetést teszel lekötelezetté!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238"/>
          </rPr>
          <t>Szerző:
Írd be a pontértéket az alábbiak szerint!</t>
        </r>
        <r>
          <rPr>
            <sz val="9"/>
            <color indexed="81"/>
            <rFont val="Tahoma"/>
            <family val="2"/>
            <charset val="238"/>
          </rPr>
          <t xml:space="preserve">
Vagyon:
1 pont: 10 gulden
2 pont: 20 gulden
4 pont: 40 gulden
Nagylelkűség:
1 pont: Havonta egyszer
2 pont: Havonta kétszer
4 pont: Hetente egyszer</t>
        </r>
      </text>
    </comment>
    <comment ref="G43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Szintenként 1 Bérenc vagy 6 Söpredék</t>
        </r>
      </text>
    </comment>
    <comment ref="G48" authorId="0">
      <text>
        <r>
          <rPr>
            <b/>
            <sz val="9"/>
            <color indexed="81"/>
            <rFont val="Tahoma"/>
            <family val="2"/>
            <charset val="238"/>
          </rPr>
          <t>Szerző:</t>
        </r>
        <r>
          <rPr>
            <sz val="9"/>
            <color indexed="81"/>
            <rFont val="Tahoma"/>
            <family val="2"/>
            <charset val="238"/>
          </rPr>
          <t xml:space="preserve">
1: Káplár / Matróz
2: Őrmester / Tiszthelyettes
3: Hadnagy / Altiszt
4: Százados / Hadnagy</t>
        </r>
      </text>
    </comment>
  </commentList>
</comments>
</file>

<file path=xl/sharedStrings.xml><?xml version="1.0" encoding="utf-8"?>
<sst xmlns="http://schemas.openxmlformats.org/spreadsheetml/2006/main" count="586" uniqueCount="487">
  <si>
    <t>Termet</t>
  </si>
  <si>
    <t>Fürgeség</t>
  </si>
  <si>
    <t>Lelemény</t>
  </si>
  <si>
    <t>Elszántság</t>
  </si>
  <si>
    <t>Kisugrázás</t>
  </si>
  <si>
    <t>Hős Pont</t>
  </si>
  <si>
    <t>Varázserő</t>
  </si>
  <si>
    <t>Tisztavérű</t>
  </si>
  <si>
    <t>Félvérű</t>
  </si>
  <si>
    <t>Kétvérű</t>
  </si>
  <si>
    <t>Nemzetiség</t>
  </si>
  <si>
    <t>Avalon</t>
  </si>
  <si>
    <t>Eisen</t>
  </si>
  <si>
    <t>Kasztillia</t>
  </si>
  <si>
    <t>Montaigne</t>
  </si>
  <si>
    <t>Osszorország</t>
  </si>
  <si>
    <t>Veser</t>
  </si>
  <si>
    <t>Vestenmannavnjar</t>
  </si>
  <si>
    <t>Vodacce</t>
  </si>
  <si>
    <t>Alapérték</t>
  </si>
  <si>
    <t>Ráosztott pont</t>
  </si>
  <si>
    <t>Jellemző</t>
  </si>
  <si>
    <t>Végső Jellemző</t>
  </si>
  <si>
    <t>Előnyök</t>
  </si>
  <si>
    <t>Szintje</t>
  </si>
  <si>
    <t>HP</t>
  </si>
  <si>
    <t>Akadémia</t>
  </si>
  <si>
    <t>Alacsony</t>
  </si>
  <si>
    <t>Balkezes</t>
  </si>
  <si>
    <t>Bőtorkú</t>
  </si>
  <si>
    <t>Csirkefogó</t>
  </si>
  <si>
    <t>Éles érzékek</t>
  </si>
  <si>
    <t>Egyetem</t>
  </si>
  <si>
    <t>Felszentelt</t>
  </si>
  <si>
    <t>Harci Reflexek</t>
  </si>
  <si>
    <t>Hit</t>
  </si>
  <si>
    <t>Leírás</t>
  </si>
  <si>
    <t>Kasztíliai iskola</t>
  </si>
  <si>
    <t>Kitüntetés</t>
  </si>
  <si>
    <t>Magas</t>
  </si>
  <si>
    <t>Legendás jellemző</t>
  </si>
  <si>
    <t>Külső (2 szint)</t>
  </si>
  <si>
    <t>Dracheneisen (2 szint)</t>
  </si>
  <si>
    <t>Nyelv - Avaloni</t>
  </si>
  <si>
    <t>Nyelv - Esieni</t>
  </si>
  <si>
    <t>Nyelv - Feleiseni</t>
  </si>
  <si>
    <t>Nyelv - Kasztilliai</t>
  </si>
  <si>
    <t>Nyelv - Kontyos</t>
  </si>
  <si>
    <t>Nyelv - Montaigne-i</t>
  </si>
  <si>
    <t>Nyelv - Osszor</t>
  </si>
  <si>
    <t>Nyelv - Teodor</t>
  </si>
  <si>
    <t>Nyelv - Théai</t>
  </si>
  <si>
    <t>Nyelv - Veser</t>
  </si>
  <si>
    <t>Nyelv - Vodacce</t>
  </si>
  <si>
    <t>Nyelvérzék</t>
  </si>
  <si>
    <t>Örökség (10 szint)</t>
  </si>
  <si>
    <t>Összeköttetés (Besúgó)</t>
  </si>
  <si>
    <t>Összeköttetés (Bizalmas)</t>
  </si>
  <si>
    <t>Összeköttetés (Szövetséges)</t>
  </si>
  <si>
    <t>Különlegesség (Egyszerű Fortély)</t>
  </si>
  <si>
    <t>Különlegesség (Mester Fortély)</t>
  </si>
  <si>
    <t>Összeköttetés (Lekötelezett)</t>
  </si>
  <si>
    <t>Pártfogó</t>
  </si>
  <si>
    <t>Rossz szél hozója</t>
  </si>
  <si>
    <t>Szívós</t>
  </si>
  <si>
    <t>Szolgák</t>
  </si>
  <si>
    <t>Tagság (Bajnokok céhe)</t>
  </si>
  <si>
    <t>Tagság (Céh)</t>
  </si>
  <si>
    <t>Tagság (Muskétások)</t>
  </si>
  <si>
    <t>Tagság (Titkos társaságok)</t>
  </si>
  <si>
    <t>Tiszti rang (4 szint)</t>
  </si>
  <si>
    <t>Vasakarat</t>
  </si>
  <si>
    <t>Veszedelmesen szép</t>
  </si>
  <si>
    <t>Képzettség</t>
  </si>
  <si>
    <t>Fortély</t>
  </si>
  <si>
    <t>Szint</t>
  </si>
  <si>
    <t>Típus</t>
  </si>
  <si>
    <t>Bűnöző</t>
  </si>
  <si>
    <t>Követés</t>
  </si>
  <si>
    <t>Lopakodás</t>
  </si>
  <si>
    <t>Szerencsejáték</t>
  </si>
  <si>
    <t>Csalás</t>
  </si>
  <si>
    <t>Potyázás</t>
  </si>
  <si>
    <t>Sarlatán</t>
  </si>
  <si>
    <t>Szemfényvesztés</t>
  </si>
  <si>
    <t>Zárfeltörés</t>
  </si>
  <si>
    <t>Zsebmetszés</t>
  </si>
  <si>
    <t>Rajtaütés</t>
  </si>
  <si>
    <t>Nemes</t>
  </si>
  <si>
    <t>Írás / Olvasás</t>
  </si>
  <si>
    <t>Sisak (1)</t>
  </si>
  <si>
    <t>Páncélkesztyű (1)</t>
  </si>
  <si>
    <t>Panzerhand (1)</t>
  </si>
  <si>
    <t>Karvas (2)</t>
  </si>
  <si>
    <t>Lábvas (2)</t>
  </si>
  <si>
    <t>Csizma (2)</t>
  </si>
  <si>
    <t>Mellvért (1)</t>
  </si>
  <si>
    <t>Kard (1)</t>
  </si>
  <si>
    <t>Pisztoly (1)</t>
  </si>
  <si>
    <t>Muskéta (1)</t>
  </si>
  <si>
    <t>Költség</t>
  </si>
  <si>
    <t>Hatás</t>
  </si>
  <si>
    <t>Páncél</t>
  </si>
  <si>
    <t>Név*</t>
  </si>
  <si>
    <t>* Zárójelben lévő számok azt mutatják, legfeljebb hány darabot lehet venni az adott tárgyból</t>
  </si>
  <si>
    <t>** A Páncél annyi pontot ad, amekkora a költsége, kivéve a panzerhandot, amelyik csak 3 páncélpontot biztosít (legfeljebb 24 lehet)</t>
  </si>
  <si>
    <t>Páncél**</t>
  </si>
  <si>
    <t>kapsz +1 dobott kocka a Panzerhand Fortélyok használatánál, Páncél (3 pont)</t>
  </si>
  <si>
    <t>3f2 nehézfegyver, +1 dobott kocka Nehézfegyver fortélyok használatánál</t>
  </si>
  <si>
    <t>Támadás CSZ 5-el csökken, 7 méterrel nő a távolság</t>
  </si>
  <si>
    <t>Vagyon</t>
  </si>
  <si>
    <t>1 Pont</t>
  </si>
  <si>
    <t>2 Pont</t>
  </si>
  <si>
    <t>4 Pont</t>
  </si>
  <si>
    <t>Nagylelkűség</t>
  </si>
  <si>
    <t>10 Gulden</t>
  </si>
  <si>
    <t>20 Gulden</t>
  </si>
  <si>
    <t>40 Gulden</t>
  </si>
  <si>
    <t>Havonta egyszer</t>
  </si>
  <si>
    <t>Havonta kétszer</t>
  </si>
  <si>
    <t>Hetente egyszer</t>
  </si>
  <si>
    <t>Csepűrágó</t>
  </si>
  <si>
    <t>Alakítás</t>
  </si>
  <si>
    <t>Ének</t>
  </si>
  <si>
    <t>Tánc</t>
  </si>
  <si>
    <t>Ékesszólás</t>
  </si>
  <si>
    <t>Álcázás</t>
  </si>
  <si>
    <t>Cirkusz</t>
  </si>
  <si>
    <t>Emberismeret</t>
  </si>
  <si>
    <t>Idomítás</t>
  </si>
  <si>
    <t>Mesemondás</t>
  </si>
  <si>
    <t>Hamisítás</t>
  </si>
  <si>
    <t>Kézjelek</t>
  </si>
  <si>
    <t>Kihallgatás</t>
  </si>
  <si>
    <t>Megvesztegetés</t>
  </si>
  <si>
    <t>Méreg</t>
  </si>
  <si>
    <t>Őszinteség</t>
  </si>
  <si>
    <t>Rejtegetés</t>
  </si>
  <si>
    <t>Szájról olvasás</t>
  </si>
  <si>
    <t>Titkosírás</t>
  </si>
  <si>
    <t>Kém</t>
  </si>
  <si>
    <t>Kereskedő</t>
  </si>
  <si>
    <t>Balzsamozó</t>
  </si>
  <si>
    <t>Borász</t>
  </si>
  <si>
    <t>Borbély</t>
  </si>
  <si>
    <t>Jenny</t>
  </si>
  <si>
    <t>Ékszerész</t>
  </si>
  <si>
    <t>Fazekas</t>
  </si>
  <si>
    <t>Fogadós</t>
  </si>
  <si>
    <t>Fonó</t>
  </si>
  <si>
    <t>Gyertyamártó</t>
  </si>
  <si>
    <t>Hentes</t>
  </si>
  <si>
    <t>Intéző</t>
  </si>
  <si>
    <t>Íjkészítő</t>
  </si>
  <si>
    <t>Írnok</t>
  </si>
  <si>
    <t>Kádár</t>
  </si>
  <si>
    <t>Kalligráfus</t>
  </si>
  <si>
    <t>Kelmefestő</t>
  </si>
  <si>
    <t>Keramikus</t>
  </si>
  <si>
    <t>Kertész</t>
  </si>
  <si>
    <t>Kovács</t>
  </si>
  <si>
    <t>Masszőr</t>
  </si>
  <si>
    <t>Molnár</t>
  </si>
  <si>
    <t>Papírmerítő</t>
  </si>
  <si>
    <t>Szabó</t>
  </si>
  <si>
    <t>Szakács</t>
  </si>
  <si>
    <t>Szűcs</t>
  </si>
  <si>
    <t>Takács</t>
  </si>
  <si>
    <t>Üvegfúvó</t>
  </si>
  <si>
    <t>Varrónő</t>
  </si>
  <si>
    <t>Alkudozás</t>
  </si>
  <si>
    <t>Csapos</t>
  </si>
  <si>
    <t>Felbecslés</t>
  </si>
  <si>
    <t>Könyvelés</t>
  </si>
  <si>
    <t>Művész</t>
  </si>
  <si>
    <t>Kereskedő Fortélyok</t>
  </si>
  <si>
    <t>Művész Fortélyok</t>
  </si>
  <si>
    <t>Írás</t>
  </si>
  <si>
    <t>Rajz</t>
  </si>
  <si>
    <t>Szobrászat</t>
  </si>
  <si>
    <t>Zeneszerző</t>
  </si>
  <si>
    <t>Zenész (hangszer)</t>
  </si>
  <si>
    <t>Orvos</t>
  </si>
  <si>
    <t>Diagnózis</t>
  </si>
  <si>
    <t>Elsősegély</t>
  </si>
  <si>
    <t>Fogorvos</t>
  </si>
  <si>
    <t>Lódoktor</t>
  </si>
  <si>
    <t>Nyomszakértő</t>
  </si>
  <si>
    <t>Kuruzslás</t>
  </si>
  <si>
    <t>Bonctan</t>
  </si>
  <si>
    <t>Szolga</t>
  </si>
  <si>
    <t>Diszkréció</t>
  </si>
  <si>
    <t>Divat</t>
  </si>
  <si>
    <t>Cselédmunka</t>
  </si>
  <si>
    <t>Illem</t>
  </si>
  <si>
    <t>Inas</t>
  </si>
  <si>
    <t>Kocsis</t>
  </si>
  <si>
    <t>Szóbeszéd</t>
  </si>
  <si>
    <t>Tiszttartó</t>
  </si>
  <si>
    <t>Tengerész</t>
  </si>
  <si>
    <t>Csomók</t>
  </si>
  <si>
    <t>Egyensúly</t>
  </si>
  <si>
    <t>Mászás</t>
  </si>
  <si>
    <t>Vitorlázat</t>
  </si>
  <si>
    <t>Időjárás</t>
  </si>
  <si>
    <t>Kormányzás</t>
  </si>
  <si>
    <t>Navigáció</t>
  </si>
  <si>
    <t>Tengeri legendák</t>
  </si>
  <si>
    <t>Térképészet</t>
  </si>
  <si>
    <t>Ugrás</t>
  </si>
  <si>
    <t>Úszás</t>
  </si>
  <si>
    <t>Tudós</t>
  </si>
  <si>
    <t>Filozófus</t>
  </si>
  <si>
    <t>Kutatás</t>
  </si>
  <si>
    <t>Matematika</t>
  </si>
  <si>
    <t>Történelem</t>
  </si>
  <si>
    <t>Asztronómia</t>
  </si>
  <si>
    <t>Jogi ismeretek</t>
  </si>
  <si>
    <t>Okkult ismeretek</t>
  </si>
  <si>
    <t>Teológia</t>
  </si>
  <si>
    <t>Természetfilozófia</t>
  </si>
  <si>
    <t>Udvaronc</t>
  </si>
  <si>
    <t>Csábítás</t>
  </si>
  <si>
    <t>Cselszövés</t>
  </si>
  <si>
    <t>Diplomácia</t>
  </si>
  <si>
    <t>Játék</t>
  </si>
  <si>
    <t>Naplopás</t>
  </si>
  <si>
    <t>Politika</t>
  </si>
  <si>
    <t>Vadász</t>
  </si>
  <si>
    <t>Vadász Fortélyok</t>
  </si>
  <si>
    <t>Csapdák</t>
  </si>
  <si>
    <t>Halászat</t>
  </si>
  <si>
    <t>Nyomkövetés</t>
  </si>
  <si>
    <t>Nyomolvasás</t>
  </si>
  <si>
    <t>Nyúzás</t>
  </si>
  <si>
    <t>Túlélés</t>
  </si>
  <si>
    <t>Városlakó</t>
  </si>
  <si>
    <t>Alvilági élet</t>
  </si>
  <si>
    <t>Vásárlás</t>
  </si>
  <si>
    <t>Társasági élet</t>
  </si>
  <si>
    <t>Helyismeret</t>
  </si>
  <si>
    <t>Polgári képzettségek</t>
  </si>
  <si>
    <t>Aljas  Trükkök</t>
  </si>
  <si>
    <t>Dobás (Hevenyészett)</t>
  </si>
  <si>
    <t>Hártás (Hevenyészett</t>
  </si>
  <si>
    <t>Rúgás</t>
  </si>
  <si>
    <t>Szemszúrás</t>
  </si>
  <si>
    <t>Támadás (Hevenyészett)</t>
  </si>
  <si>
    <t>Torokütés</t>
  </si>
  <si>
    <t>Atléta</t>
  </si>
  <si>
    <t>Dobás</t>
  </si>
  <si>
    <t>Lábmunka</t>
  </si>
  <si>
    <t>Vágtázás</t>
  </si>
  <si>
    <t>Emelés</t>
  </si>
  <si>
    <t>Hosszútávfutás</t>
  </si>
  <si>
    <t>Gurulás</t>
  </si>
  <si>
    <t>Kitérés</t>
  </si>
  <si>
    <t>Lengés</t>
  </si>
  <si>
    <t>Tompítás</t>
  </si>
  <si>
    <t>Birkózás</t>
  </si>
  <si>
    <t>Fogás</t>
  </si>
  <si>
    <t>Átkarolás</t>
  </si>
  <si>
    <t>Fejelés</t>
  </si>
  <si>
    <t>Szabadulás</t>
  </si>
  <si>
    <t>Törés</t>
  </si>
  <si>
    <t>Hadvezér</t>
  </si>
  <si>
    <t>Stratégia</t>
  </si>
  <si>
    <t>Taktika</t>
  </si>
  <si>
    <t>Buzdítás</t>
  </si>
  <si>
    <t>Fegyvermester</t>
  </si>
  <si>
    <t>Hadtáp</t>
  </si>
  <si>
    <t>Tüzérség</t>
  </si>
  <si>
    <t>Vezérlet</t>
  </si>
  <si>
    <t>Íjász</t>
  </si>
  <si>
    <t>Nyíljavító</t>
  </si>
  <si>
    <t>Támadás (Íj)</t>
  </si>
  <si>
    <t>Kapáslövés</t>
  </si>
  <si>
    <t>Lovas íjászat</t>
  </si>
  <si>
    <t>Mutatványok</t>
  </si>
  <si>
    <t>Kés</t>
  </si>
  <si>
    <t>Hárítás (Kés)</t>
  </si>
  <si>
    <t>Támadás (Kés)</t>
  </si>
  <si>
    <t>Dobás (Kés)</t>
  </si>
  <si>
    <t>Kis pajzs</t>
  </si>
  <si>
    <t>Hárítás (Kis pajzs)</t>
  </si>
  <si>
    <t>Támadás (Kis pajzs)</t>
  </si>
  <si>
    <t>Lovaglás</t>
  </si>
  <si>
    <t>Lovglás</t>
  </si>
  <si>
    <t>Műlovaglás</t>
  </si>
  <si>
    <t>Nyeregbe ugrás</t>
  </si>
  <si>
    <t>Nehézfegyverek</t>
  </si>
  <si>
    <t>Hárítás (Nehézfegyverek)</t>
  </si>
  <si>
    <t>Támadás (Nehézfegyverek)</t>
  </si>
  <si>
    <t>Öklözés</t>
  </si>
  <si>
    <t>Szurkálás</t>
  </si>
  <si>
    <t>Támadás (Öklözés)</t>
  </si>
  <si>
    <t>Füles</t>
  </si>
  <si>
    <t>Horog</t>
  </si>
  <si>
    <t>Panzerhand</t>
  </si>
  <si>
    <t>Pamzerhand</t>
  </si>
  <si>
    <t>Hárítás (Panzerhand)</t>
  </si>
  <si>
    <t>Támadás (Panzerhand)</t>
  </si>
  <si>
    <t>Szálfegyverek</t>
  </si>
  <si>
    <t>Hárítás (Szálfegyverek)</t>
  </si>
  <si>
    <t>Támadás (Szálfegyverek)</t>
  </si>
  <si>
    <t>Rohamvédelem</t>
  </si>
  <si>
    <t>Számszeríjak</t>
  </si>
  <si>
    <t>Támadás (Számszeríjak)</t>
  </si>
  <si>
    <t>Újratöltés (Számszeríjak)</t>
  </si>
  <si>
    <t>Tűzfegyverek</t>
  </si>
  <si>
    <t>Támadás (Tűzfegyverek)</t>
  </si>
  <si>
    <t>Újratöltés (Tűzfegyverek)</t>
  </si>
  <si>
    <t>Vívás</t>
  </si>
  <si>
    <t>Hárítás (Vívás)</t>
  </si>
  <si>
    <t>Támadás (Vívás)</t>
  </si>
  <si>
    <t>Katonai képzettségek</t>
  </si>
  <si>
    <t>Arkánum</t>
  </si>
  <si>
    <t>Gyarlóság</t>
  </si>
  <si>
    <t>Erény</t>
  </si>
  <si>
    <t>Bolond</t>
  </si>
  <si>
    <t>Mágus</t>
  </si>
  <si>
    <t>Főpapnő</t>
  </si>
  <si>
    <t>Császárnő</t>
  </si>
  <si>
    <t>Hierofáns</t>
  </si>
  <si>
    <t>Szerelmesek</t>
  </si>
  <si>
    <t>Szekér</t>
  </si>
  <si>
    <t>Erő</t>
  </si>
  <si>
    <t>Remete</t>
  </si>
  <si>
    <t>Szerencse</t>
  </si>
  <si>
    <t>Igazság</t>
  </si>
  <si>
    <t>Akasztott ember</t>
  </si>
  <si>
    <t>Halál</t>
  </si>
  <si>
    <t>Mérséklet</t>
  </si>
  <si>
    <t>Légió</t>
  </si>
  <si>
    <t>Torony</t>
  </si>
  <si>
    <t>Csillag</t>
  </si>
  <si>
    <t>Hold</t>
  </si>
  <si>
    <t>Nap</t>
  </si>
  <si>
    <t>Igazságszolgáltatás</t>
  </si>
  <si>
    <t>Föld</t>
  </si>
  <si>
    <t>Hamari</t>
  </si>
  <si>
    <t>Nagyravágyó</t>
  </si>
  <si>
    <t>Élvhajhász</t>
  </si>
  <si>
    <t>Buja</t>
  </si>
  <si>
    <t>Forrofejű</t>
  </si>
  <si>
    <t>Hiszékeny</t>
  </si>
  <si>
    <t>Balszerencsés</t>
  </si>
  <si>
    <t>Önhitt</t>
  </si>
  <si>
    <t>Nyúlszívű</t>
  </si>
  <si>
    <t>Túlbuzgó</t>
  </si>
  <si>
    <t>Szerencsétlen</t>
  </si>
  <si>
    <t>Előítéletes</t>
  </si>
  <si>
    <t>Habozó</t>
  </si>
  <si>
    <t>Vakmerő</t>
  </si>
  <si>
    <t>Irigy</t>
  </si>
  <si>
    <t>Hűséges</t>
  </si>
  <si>
    <t>Rátarti</t>
  </si>
  <si>
    <t>Konok</t>
  </si>
  <si>
    <t>Figyelmetlen</t>
  </si>
  <si>
    <t>Kevély</t>
  </si>
  <si>
    <t>Etikátlan</t>
  </si>
  <si>
    <t>Mohó</t>
  </si>
  <si>
    <t>Mázlista</t>
  </si>
  <si>
    <t>Állhattos</t>
  </si>
  <si>
    <t>Ösztönös</t>
  </si>
  <si>
    <t>Megnyugtató</t>
  </si>
  <si>
    <t>Méltóságteljes</t>
  </si>
  <si>
    <t>Beleérző</t>
  </si>
  <si>
    <t>Heves</t>
  </si>
  <si>
    <t>Diadalmas</t>
  </si>
  <si>
    <t>Oroszlánszívű</t>
  </si>
  <si>
    <t>Elmélyült</t>
  </si>
  <si>
    <t>Szerencsé</t>
  </si>
  <si>
    <t>sPéldamutató</t>
  </si>
  <si>
    <t>Önzetlen</t>
  </si>
  <si>
    <t>Talpraesett</t>
  </si>
  <si>
    <t>Higgadt</t>
  </si>
  <si>
    <t>Érzékeny</t>
  </si>
  <si>
    <t>Sejtelmes</t>
  </si>
  <si>
    <t>Ösztönző</t>
  </si>
  <si>
    <t>Figyelmes</t>
  </si>
  <si>
    <t>Barátságos</t>
  </si>
  <si>
    <t>Bölcs</t>
  </si>
  <si>
    <t>Gyakorlatias</t>
  </si>
  <si>
    <t>Van</t>
  </si>
  <si>
    <t>Háttér</t>
  </si>
  <si>
    <t>Amnézia</t>
  </si>
  <si>
    <t>Átok</t>
  </si>
  <si>
    <t>Elveszett szerelem</t>
  </si>
  <si>
    <t>Félelem</t>
  </si>
  <si>
    <t>Fogaladom</t>
  </si>
  <si>
    <t>Kötelezettség</t>
  </si>
  <si>
    <t>Kudarc</t>
  </si>
  <si>
    <t>Másik személyiség</t>
  </si>
  <si>
    <t>Nemezis</t>
  </si>
  <si>
    <t>Románc</t>
  </si>
  <si>
    <t>Tartozás</t>
  </si>
  <si>
    <t>Tévedés áldozata</t>
  </si>
  <si>
    <t>Öldöző</t>
  </si>
  <si>
    <t>Üldözött</t>
  </si>
  <si>
    <t>Vendetta</t>
  </si>
  <si>
    <t>Versenytárs</t>
  </si>
  <si>
    <t>Mire jó</t>
  </si>
  <si>
    <t>Ha a kaland elsődleges témája a háttered akkor a kaland végén a háttér szintjének kétszeresét megkapod TP-ben.</t>
  </si>
  <si>
    <t>Hírnév kocka</t>
  </si>
  <si>
    <t>Varázsvér</t>
  </si>
  <si>
    <t>Töltsd ki a sárga mezőket 1-esekkel! Kivéve aminek szintje van, oda a szintet írd! Figyelmesen kövesd az utasításokat a megjegyzésekben!</t>
  </si>
  <si>
    <t>Beavatási szint</t>
  </si>
  <si>
    <t>Bűbáj</t>
  </si>
  <si>
    <t>Jack</t>
  </si>
  <si>
    <t>Robin pajtás</t>
  </si>
  <si>
    <t>Szarvas vadász</t>
  </si>
  <si>
    <t>Thomas</t>
  </si>
  <si>
    <t>Zöld ember</t>
  </si>
  <si>
    <t>Ráosztott pontok</t>
  </si>
  <si>
    <t>Elosztható varázspontok pontok</t>
  </si>
  <si>
    <t>Lærdom</t>
  </si>
  <si>
    <t>Kjøt (Hús)</t>
  </si>
  <si>
    <t>Bevegelse (Empátia)</t>
  </si>
  <si>
    <t>Varsel (Előjel)</t>
  </si>
  <si>
    <t>Ensomhet (Magány)</t>
  </si>
  <si>
    <t>Styrke (Erő)</t>
  </si>
  <si>
    <t>Uvitenhet (Rejtelem)</t>
  </si>
  <si>
    <t>Stans (Nyugalom)</t>
  </si>
  <si>
    <t>Storsæd(Nagyság)</t>
  </si>
  <si>
    <t>Kyndighet (Jártasság)</t>
  </si>
  <si>
    <t>Sterk (Teljesség)</t>
  </si>
  <si>
    <t>Velstand (Gazdagság)</t>
  </si>
  <si>
    <t>Fjell (Hegy)</t>
  </si>
  <si>
    <t>Høst (Aratás)</t>
  </si>
  <si>
    <t>Grenseløs (Köthetetlen)</t>
  </si>
  <si>
    <t>Krieg (Harcos)</t>
  </si>
  <si>
    <t>Nød (Hevesség)</t>
  </si>
  <si>
    <t>Sinne (Harag)</t>
  </si>
  <si>
    <t>Tungsinn (Mélabú)</t>
  </si>
  <si>
    <t>Herje (Pusztulás)</t>
  </si>
  <si>
    <t>Resie (Utazás)</t>
  </si>
  <si>
    <t>Fornuft (Kapu)</t>
  </si>
  <si>
    <t>Lidenskap (Szenvedély)</t>
  </si>
  <si>
    <t>Kjølig (Gyűlölet)</t>
  </si>
  <si>
    <t>Villskap (Düh)</t>
  </si>
  <si>
    <t>Pjerjem</t>
  </si>
  <si>
    <t>Bagoly</t>
  </si>
  <si>
    <t>Egér</t>
  </si>
  <si>
    <t>Farkas</t>
  </si>
  <si>
    <t>Hóleopárd</t>
  </si>
  <si>
    <t>Kodiak medve</t>
  </si>
  <si>
    <t>Macska</t>
  </si>
  <si>
    <t>Nyúl</t>
  </si>
  <si>
    <t>Róka</t>
  </si>
  <si>
    <t>Sólyom</t>
  </si>
  <si>
    <t>Vidra</t>
  </si>
  <si>
    <t>Beszéd</t>
  </si>
  <si>
    <t>Ember</t>
  </si>
  <si>
    <t>Porté</t>
  </si>
  <si>
    <t>Áthúzás</t>
  </si>
  <si>
    <t>Ráhangolódás</t>
  </si>
  <si>
    <t>Séta</t>
  </si>
  <si>
    <t>Vérezés</t>
  </si>
  <si>
    <t>Zseb</t>
  </si>
  <si>
    <t>Sorte</t>
  </si>
  <si>
    <t>Arkánumok</t>
  </si>
  <si>
    <t>Botok</t>
  </si>
  <si>
    <t>Érmék</t>
  </si>
  <si>
    <t>Kardok</t>
  </si>
  <si>
    <t>Kelyhek</t>
  </si>
  <si>
    <t>Támadás (Aljas Trükk)</t>
  </si>
  <si>
    <t>Vívósikola</t>
  </si>
  <si>
    <t>Donovan</t>
  </si>
  <si>
    <t>Eisenfaust</t>
  </si>
  <si>
    <t>Aldana</t>
  </si>
  <si>
    <t>Valroux</t>
  </si>
  <si>
    <t>Leegstra</t>
  </si>
  <si>
    <t>Ambrogia</t>
  </si>
  <si>
    <t>Vívóiskola</t>
  </si>
  <si>
    <t>Csel</t>
  </si>
  <si>
    <t>Riposzt</t>
  </si>
  <si>
    <t>Védjegy</t>
  </si>
  <si>
    <t>Hibára késztetés</t>
  </si>
  <si>
    <t>Ütés kardmarkolattal</t>
  </si>
  <si>
    <t>Kötés</t>
  </si>
  <si>
    <t>Lefegyverzés</t>
  </si>
  <si>
    <t>Sujtás</t>
  </si>
  <si>
    <t>Kitörés</t>
  </si>
  <si>
    <t>Test-test elleni küzdelem</t>
  </si>
  <si>
    <t>Kettőshárítás</t>
  </si>
  <si>
    <t>Az alábbi táblázatból csak 1-et választhatsz. Nem lehet Erényed és Gyarlóságod is. Vagy 1 Erény, vagy 1 Gyarlóság, vagy egyik sem!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</si>
</sst>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444950"/>
      <name val="Arial"/>
      <family val="2"/>
      <charset val="238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4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79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54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6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69" xfId="0" applyFill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87" xfId="0" applyFill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/>
    </xf>
    <xf numFmtId="0" fontId="0" fillId="3" borderId="97" xfId="0" applyFill="1" applyBorder="1" applyAlignment="1">
      <alignment horizontal="center" vertical="center" wrapText="1"/>
    </xf>
    <xf numFmtId="0" fontId="0" fillId="6" borderId="98" xfId="0" applyFill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0" fillId="7" borderId="100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87" xfId="0" applyFill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3" borderId="105" xfId="0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6" borderId="107" xfId="0" applyFill="1" applyBorder="1" applyAlignment="1">
      <alignment horizontal="center" vertical="center"/>
    </xf>
    <xf numFmtId="0" fontId="0" fillId="6" borderId="108" xfId="0" applyFill="1" applyBorder="1" applyAlignment="1">
      <alignment horizontal="center" vertical="center"/>
    </xf>
    <xf numFmtId="0" fontId="6" fillId="0" borderId="58" xfId="0" applyFont="1" applyBorder="1" applyAlignment="1">
      <alignment horizontal="center" vertical="center" textRotation="90" wrapText="1"/>
    </xf>
    <xf numFmtId="0" fontId="6" fillId="0" borderId="59" xfId="0" applyFont="1" applyBorder="1" applyAlignment="1">
      <alignment horizontal="center" vertical="center" textRotation="90" wrapText="1"/>
    </xf>
    <xf numFmtId="0" fontId="6" fillId="0" borderId="60" xfId="0" applyFont="1" applyBorder="1" applyAlignment="1">
      <alignment horizontal="center" vertical="center" textRotation="90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0" fillId="0" borderId="65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wrapText="1"/>
    </xf>
    <xf numFmtId="0" fontId="0" fillId="0" borderId="64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textRotation="90" wrapText="1"/>
    </xf>
    <xf numFmtId="0" fontId="0" fillId="0" borderId="65" xfId="0" applyFill="1" applyBorder="1" applyAlignment="1">
      <alignment horizontal="center" vertical="center" textRotation="90" wrapText="1"/>
    </xf>
    <xf numFmtId="0" fontId="0" fillId="0" borderId="65" xfId="0" applyBorder="1" applyAlignment="1">
      <alignment horizontal="center" vertical="center" textRotation="90" wrapText="1"/>
    </xf>
    <xf numFmtId="0" fontId="0" fillId="0" borderId="62" xfId="0" applyBorder="1" applyAlignment="1">
      <alignment horizontal="center" vertical="center" textRotation="90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93" xfId="0" applyFill="1" applyBorder="1" applyAlignment="1">
      <alignment horizontal="center" vertical="center" textRotation="90" wrapText="1"/>
    </xf>
    <xf numFmtId="0" fontId="0" fillId="0" borderId="92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textRotation="90" wrapText="1"/>
    </xf>
    <xf numFmtId="0" fontId="0" fillId="0" borderId="66" xfId="0" applyBorder="1" applyAlignment="1">
      <alignment horizontal="center" vertical="center" textRotation="90" wrapText="1"/>
    </xf>
    <xf numFmtId="0" fontId="0" fillId="0" borderId="68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7" borderId="55" xfId="0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 vertical="center" wrapText="1"/>
    </xf>
    <xf numFmtId="0" fontId="0" fillId="7" borderId="44" xfId="0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0" fillId="7" borderId="56" xfId="0" applyFill="1" applyBorder="1" applyAlignment="1">
      <alignment horizontal="center" vertical="center" wrapText="1"/>
    </xf>
    <xf numFmtId="0" fontId="0" fillId="7" borderId="57" xfId="0" applyFill="1" applyBorder="1" applyAlignment="1">
      <alignment horizontal="center" vertical="center" wrapText="1"/>
    </xf>
    <xf numFmtId="0" fontId="0" fillId="3" borderId="42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0" fontId="0" fillId="5" borderId="91" xfId="0" applyFill="1" applyBorder="1" applyAlignment="1">
      <alignment horizontal="center" vertical="center" wrapText="1"/>
    </xf>
    <xf numFmtId="0" fontId="0" fillId="7" borderId="93" xfId="0" applyFill="1" applyBorder="1" applyAlignment="1">
      <alignment horizontal="center" vertical="center" wrapText="1"/>
    </xf>
    <xf numFmtId="0" fontId="0" fillId="7" borderId="109" xfId="0" applyFill="1" applyBorder="1" applyAlignment="1">
      <alignment horizontal="center" vertical="center" wrapText="1"/>
    </xf>
    <xf numFmtId="0" fontId="0" fillId="7" borderId="110" xfId="0" applyFill="1" applyBorder="1" applyAlignment="1">
      <alignment horizontal="center" vertical="center" wrapText="1"/>
    </xf>
    <xf numFmtId="0" fontId="0" fillId="7" borderId="67" xfId="0" applyFill="1" applyBorder="1" applyAlignment="1">
      <alignment horizontal="center" vertical="center" wrapText="1"/>
    </xf>
    <xf numFmtId="0" fontId="0" fillId="7" borderId="111" xfId="0" applyFill="1" applyBorder="1" applyAlignment="1">
      <alignment horizontal="center" vertical="center" wrapText="1"/>
    </xf>
    <xf numFmtId="0" fontId="0" fillId="7" borderId="68" xfId="0" applyFill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3" borderId="81" xfId="0" applyFill="1" applyBorder="1" applyAlignment="1">
      <alignment horizontal="center" vertical="center" wrapText="1"/>
    </xf>
    <xf numFmtId="0" fontId="0" fillId="3" borderId="82" xfId="0" applyFill="1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6" borderId="93" xfId="0" applyFill="1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0" fillId="6" borderId="99" xfId="0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02" xfId="0" applyBorder="1" applyAlignment="1">
      <alignment horizontal="center" vertical="center" wrapText="1"/>
    </xf>
    <xf numFmtId="0" fontId="0" fillId="3" borderId="80" xfId="0" applyFill="1" applyBorder="1" applyAlignment="1">
      <alignment horizontal="center" vertical="center" wrapText="1"/>
    </xf>
    <xf numFmtId="0" fontId="0" fillId="3" borderId="83" xfId="0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5" borderId="24" xfId="0" applyFill="1" applyBorder="1" applyAlignment="1">
      <alignment horizontal="center" wrapText="1"/>
    </xf>
    <xf numFmtId="0" fontId="0" fillId="5" borderId="25" xfId="0" applyFill="1" applyBorder="1" applyAlignment="1">
      <alignment horizontal="center" wrapText="1"/>
    </xf>
    <xf numFmtId="0" fontId="0" fillId="5" borderId="26" xfId="0" applyFill="1" applyBorder="1" applyAlignment="1">
      <alignment horizontal="center" wrapText="1"/>
    </xf>
    <xf numFmtId="0" fontId="0" fillId="5" borderId="19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5" borderId="20" xfId="0" applyFill="1" applyBorder="1" applyAlignment="1">
      <alignment horizontal="center" wrapText="1"/>
    </xf>
    <xf numFmtId="0" fontId="0" fillId="5" borderId="21" xfId="0" applyFill="1" applyBorder="1" applyAlignment="1">
      <alignment horizontal="center" wrapText="1"/>
    </xf>
    <xf numFmtId="0" fontId="0" fillId="5" borderId="22" xfId="0" applyFill="1" applyBorder="1" applyAlignment="1">
      <alignment horizontal="center" wrapText="1"/>
    </xf>
    <xf numFmtId="0" fontId="0" fillId="5" borderId="23" xfId="0" applyFill="1" applyBorder="1" applyAlignment="1">
      <alignment horizontal="center" wrapText="1"/>
    </xf>
    <xf numFmtId="0" fontId="0" fillId="5" borderId="16" xfId="0" applyFill="1" applyBorder="1" applyAlignment="1">
      <alignment horizontal="center" wrapText="1"/>
    </xf>
    <xf numFmtId="0" fontId="0" fillId="5" borderId="17" xfId="0" applyFill="1" applyBorder="1" applyAlignment="1">
      <alignment horizontal="center" wrapText="1"/>
    </xf>
    <xf numFmtId="0" fontId="0" fillId="5" borderId="18" xfId="0" applyFill="1" applyBorder="1" applyAlignment="1">
      <alignment horizontal="center" wrapText="1"/>
    </xf>
    <xf numFmtId="0" fontId="0" fillId="5" borderId="27" xfId="0" applyFill="1" applyBorder="1" applyAlignment="1">
      <alignment horizontal="center" wrapText="1"/>
    </xf>
    <xf numFmtId="0" fontId="0" fillId="5" borderId="28" xfId="0" applyFill="1" applyBorder="1" applyAlignment="1">
      <alignment horizontal="center" wrapText="1"/>
    </xf>
    <xf numFmtId="0" fontId="0" fillId="5" borderId="29" xfId="0" applyFill="1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Range="Szabályok!$O$2:$P$29" noThreeD="1" sel="0" val="0"/>
</file>

<file path=xl/ctrlProps/ctrlProp10.xml><?xml version="1.0" encoding="utf-8"?>
<formControlPr xmlns="http://schemas.microsoft.com/office/spreadsheetml/2009/9/main" objectType="Drop" dropStyle="combo" dx="16" fmlaRange="Szabályok!$U$2:$V$8" noThreeD="1" sel="0" val="0"/>
</file>

<file path=xl/ctrlProps/ctrlProp11.xml><?xml version="1.0" encoding="utf-8"?>
<formControlPr xmlns="http://schemas.microsoft.com/office/spreadsheetml/2009/9/main" objectType="Drop" dropStyle="combo" dx="16" fmlaRange="Szabályok!$U$2:$V$8" noThreeD="1" sel="0" val="0"/>
</file>

<file path=xl/ctrlProps/ctrlProp12.xml><?xml version="1.0" encoding="utf-8"?>
<formControlPr xmlns="http://schemas.microsoft.com/office/spreadsheetml/2009/9/main" objectType="Drop" dropStyle="combo" dx="16" fmlaRange="Szabályok!$U$2:$V$8" noThreeD="1" sel="0" val="0"/>
</file>

<file path=xl/ctrlProps/ctrlProp13.xml><?xml version="1.0" encoding="utf-8"?>
<formControlPr xmlns="http://schemas.microsoft.com/office/spreadsheetml/2009/9/main" objectType="Drop" dropStyle="combo" dx="16" fmlaRange="Szabályok!$U$2:$V$8" noThreeD="1" sel="0" val="0"/>
</file>

<file path=xl/ctrlProps/ctrlProp14.xml><?xml version="1.0" encoding="utf-8"?>
<formControlPr xmlns="http://schemas.microsoft.com/office/spreadsheetml/2009/9/main" objectType="Drop" dropStyle="combo" dx="16" fmlaRange="Szabályok!$U$2:$V$8" noThreeD="1" sel="0" val="0"/>
</file>

<file path=xl/ctrlProps/ctrlProp15.xml><?xml version="1.0" encoding="utf-8"?>
<formControlPr xmlns="http://schemas.microsoft.com/office/spreadsheetml/2009/9/main" objectType="Drop" dropStyle="combo" dx="16" fmlaRange="Szabályok!$U$2:$V$8" noThreeD="1" sel="0" val="0"/>
</file>

<file path=xl/ctrlProps/ctrlProp2.xml><?xml version="1.0" encoding="utf-8"?>
<formControlPr xmlns="http://schemas.microsoft.com/office/spreadsheetml/2009/9/main" objectType="Drop" dropStyle="combo" dx="16" fmlaRange="Szabályok!$O$2:$P$29" noThreeD="1" sel="0" val="0"/>
</file>

<file path=xl/ctrlProps/ctrlProp3.xml><?xml version="1.0" encoding="utf-8"?>
<formControlPr xmlns="http://schemas.microsoft.com/office/spreadsheetml/2009/9/main" objectType="Drop" dropStyle="combo" dx="16" fmlaRange="Szabályok!$O$2:$P$29" noThreeD="1" sel="0" val="0"/>
</file>

<file path=xl/ctrlProps/ctrlProp4.xml><?xml version="1.0" encoding="utf-8"?>
<formControlPr xmlns="http://schemas.microsoft.com/office/spreadsheetml/2009/9/main" objectType="Drop" dropStyle="combo" dx="16" fmlaRange="Szabályok!$O$2:$P$29" noThreeD="1" sel="0" val="0"/>
</file>

<file path=xl/ctrlProps/ctrlProp5.xml><?xml version="1.0" encoding="utf-8"?>
<formControlPr xmlns="http://schemas.microsoft.com/office/spreadsheetml/2009/9/main" objectType="Drop" dropStyle="combo" dx="16" fmlaRange="Szabályok!$O$2:$P$29" noThreeD="1" sel="0" val="0"/>
</file>

<file path=xl/ctrlProps/ctrlProp6.xml><?xml version="1.0" encoding="utf-8"?>
<formControlPr xmlns="http://schemas.microsoft.com/office/spreadsheetml/2009/9/main" objectType="Drop" dropStyle="combo" dx="16" fmlaRange="Szabályok!$R$2:$S$7" noThreeD="1" sel="6" val="0"/>
</file>

<file path=xl/ctrlProps/ctrlProp7.xml><?xml version="1.0" encoding="utf-8"?>
<formControlPr xmlns="http://schemas.microsoft.com/office/spreadsheetml/2009/9/main" objectType="Drop" dropStyle="combo" dx="16" fmlaRange="Szabályok!$R$2:$S$7" noThreeD="1" sel="0" val="0"/>
</file>

<file path=xl/ctrlProps/ctrlProp8.xml><?xml version="1.0" encoding="utf-8"?>
<formControlPr xmlns="http://schemas.microsoft.com/office/spreadsheetml/2009/9/main" objectType="Drop" dropStyle="combo" dx="16" fmlaRange="Szabályok!$R$2:$S$7" noThreeD="1" sel="0" val="0"/>
</file>

<file path=xl/ctrlProps/ctrlProp9.xml><?xml version="1.0" encoding="utf-8"?>
<formControlPr xmlns="http://schemas.microsoft.com/office/spreadsheetml/2009/9/main" objectType="Drop" dropStyle="combo" dx="16" fmlaRange="Szabályok!$U$2:$V$8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38</xdr:row>
          <xdr:rowOff>0</xdr:rowOff>
        </xdr:from>
        <xdr:to>
          <xdr:col>13</xdr:col>
          <xdr:colOff>1095375</xdr:colOff>
          <xdr:row>38</xdr:row>
          <xdr:rowOff>190500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39</xdr:row>
          <xdr:rowOff>0</xdr:rowOff>
        </xdr:from>
        <xdr:to>
          <xdr:col>13</xdr:col>
          <xdr:colOff>1095375</xdr:colOff>
          <xdr:row>39</xdr:row>
          <xdr:rowOff>190500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40</xdr:row>
          <xdr:rowOff>0</xdr:rowOff>
        </xdr:from>
        <xdr:to>
          <xdr:col>13</xdr:col>
          <xdr:colOff>1095375</xdr:colOff>
          <xdr:row>40</xdr:row>
          <xdr:rowOff>190500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0</xdr:rowOff>
        </xdr:from>
        <xdr:to>
          <xdr:col>13</xdr:col>
          <xdr:colOff>1095375</xdr:colOff>
          <xdr:row>41</xdr:row>
          <xdr:rowOff>190500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0</xdr:rowOff>
        </xdr:from>
        <xdr:to>
          <xdr:col>13</xdr:col>
          <xdr:colOff>1095375</xdr:colOff>
          <xdr:row>42</xdr:row>
          <xdr:rowOff>190500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48</xdr:row>
          <xdr:rowOff>0</xdr:rowOff>
        </xdr:from>
        <xdr:to>
          <xdr:col>13</xdr:col>
          <xdr:colOff>1095375</xdr:colOff>
          <xdr:row>48</xdr:row>
          <xdr:rowOff>190500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49</xdr:row>
          <xdr:rowOff>0</xdr:rowOff>
        </xdr:from>
        <xdr:to>
          <xdr:col>13</xdr:col>
          <xdr:colOff>1095375</xdr:colOff>
          <xdr:row>49</xdr:row>
          <xdr:rowOff>190500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0</xdr:rowOff>
        </xdr:from>
        <xdr:to>
          <xdr:col>13</xdr:col>
          <xdr:colOff>1095375</xdr:colOff>
          <xdr:row>50</xdr:row>
          <xdr:rowOff>190500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108</xdr:row>
          <xdr:rowOff>0</xdr:rowOff>
        </xdr:from>
        <xdr:to>
          <xdr:col>13</xdr:col>
          <xdr:colOff>1095375</xdr:colOff>
          <xdr:row>109</xdr:row>
          <xdr:rowOff>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109</xdr:row>
          <xdr:rowOff>0</xdr:rowOff>
        </xdr:from>
        <xdr:to>
          <xdr:col>13</xdr:col>
          <xdr:colOff>1095375</xdr:colOff>
          <xdr:row>110</xdr:row>
          <xdr:rowOff>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110</xdr:row>
          <xdr:rowOff>0</xdr:rowOff>
        </xdr:from>
        <xdr:to>
          <xdr:col>13</xdr:col>
          <xdr:colOff>1095375</xdr:colOff>
          <xdr:row>111</xdr:row>
          <xdr:rowOff>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111</xdr:row>
          <xdr:rowOff>0</xdr:rowOff>
        </xdr:from>
        <xdr:to>
          <xdr:col>13</xdr:col>
          <xdr:colOff>1095375</xdr:colOff>
          <xdr:row>112</xdr:row>
          <xdr:rowOff>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112</xdr:row>
          <xdr:rowOff>0</xdr:rowOff>
        </xdr:from>
        <xdr:to>
          <xdr:col>13</xdr:col>
          <xdr:colOff>1095375</xdr:colOff>
          <xdr:row>113</xdr:row>
          <xdr:rowOff>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113</xdr:row>
          <xdr:rowOff>0</xdr:rowOff>
        </xdr:from>
        <xdr:to>
          <xdr:col>13</xdr:col>
          <xdr:colOff>1095375</xdr:colOff>
          <xdr:row>114</xdr:row>
          <xdr:rowOff>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114</xdr:row>
          <xdr:rowOff>0</xdr:rowOff>
        </xdr:from>
        <xdr:to>
          <xdr:col>13</xdr:col>
          <xdr:colOff>1095375</xdr:colOff>
          <xdr:row>114</xdr:row>
          <xdr:rowOff>190500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AL124"/>
  <sheetViews>
    <sheetView tabSelected="1" zoomScale="85" zoomScaleNormal="85" workbookViewId="0">
      <pane xSplit="5" topLeftCell="R1" activePane="topRight" state="frozen"/>
      <selection pane="topRight" activeCell="AK1" sqref="AK1:AK1048576"/>
    </sheetView>
  </sheetViews>
  <sheetFormatPr defaultRowHeight="15" x14ac:dyDescent="0.25"/>
  <cols>
    <col min="1" max="1" width="17.85546875" style="1" bestFit="1" customWidth="1"/>
    <col min="2" max="2" width="18" style="1" bestFit="1" customWidth="1"/>
    <col min="3" max="3" width="10.7109375" style="1" customWidth="1"/>
    <col min="4" max="4" width="14.85546875" style="1" bestFit="1" customWidth="1"/>
    <col min="5" max="6" width="10.7109375" style="1" customWidth="1"/>
    <col min="7" max="7" width="30.85546875" style="1" bestFit="1" customWidth="1"/>
    <col min="8" max="8" width="9.140625" style="1"/>
    <col min="9" max="9" width="9.140625" style="1" hidden="1" customWidth="1"/>
    <col min="10" max="10" width="75" style="1" customWidth="1"/>
    <col min="11" max="12" width="8.85546875" style="1" customWidth="1"/>
    <col min="13" max="13" width="10.7109375" style="1" customWidth="1"/>
    <col min="14" max="14" width="17.85546875" style="1" bestFit="1" customWidth="1"/>
    <col min="15" max="15" width="9.42578125" style="1" customWidth="1"/>
    <col min="16" max="16" width="9.140625" style="1" hidden="1" customWidth="1"/>
    <col min="17" max="17" width="9.140625" style="1"/>
    <col min="19" max="19" width="9.140625" style="1"/>
    <col min="20" max="20" width="13" style="1" customWidth="1"/>
    <col min="21" max="21" width="25.7109375" style="1" bestFit="1" customWidth="1"/>
    <col min="22" max="22" width="9.140625" style="1"/>
    <col min="23" max="23" width="9.140625" style="1" hidden="1" customWidth="1"/>
    <col min="24" max="25" width="9.140625" style="1"/>
    <col min="26" max="26" width="9.85546875" style="1" customWidth="1"/>
    <col min="27" max="27" width="22.85546875" style="1" bestFit="1" customWidth="1"/>
    <col min="28" max="28" width="10" style="1" customWidth="1"/>
    <col min="29" max="29" width="0" style="1" hidden="1" customWidth="1"/>
    <col min="30" max="33" width="9.140625" style="1"/>
    <col min="34" max="34" width="10.7109375" style="1" customWidth="1"/>
    <col min="35" max="35" width="25.140625" style="1" bestFit="1" customWidth="1"/>
    <col min="36" max="36" width="10.85546875" style="1" customWidth="1"/>
    <col min="37" max="37" width="9.140625" style="1" hidden="1" customWidth="1"/>
    <col min="38" max="16384" width="9.140625" style="1"/>
  </cols>
  <sheetData>
    <row r="1" spans="1:38" ht="15.75" customHeight="1" thickTop="1" thickBot="1" x14ac:dyDescent="0.3">
      <c r="A1" s="127" t="s">
        <v>5</v>
      </c>
      <c r="B1" s="127">
        <f>C1-(C4*40+C5*20+C6*40)-((SUM(C27:C31))*8)-((SUM(I3:I50)))-((SUM(P3:P123))+((SUM(W3:W85))))-(IF((((SUM(C35:C56))+(SUM(E35:E56)))=1),(IF((SUM(C35:C56))&gt;0,-10,0)+IF((SUM(E35:E56))&gt;0,10,0)),0))-(SUM(B60:B75))-AC2-(SUM(D8:D13))-(SUM(AK3:AK26))</f>
        <v>100</v>
      </c>
      <c r="C1" s="135">
        <v>100</v>
      </c>
      <c r="D1" s="136"/>
      <c r="E1" s="137"/>
      <c r="F1" s="153"/>
      <c r="G1" s="124" t="s">
        <v>23</v>
      </c>
      <c r="H1" s="130" t="s">
        <v>24</v>
      </c>
      <c r="I1" s="132" t="s">
        <v>25</v>
      </c>
      <c r="J1" s="139" t="s">
        <v>36</v>
      </c>
      <c r="K1" s="10"/>
      <c r="L1" s="174" t="s">
        <v>76</v>
      </c>
      <c r="M1" s="110" t="s">
        <v>73</v>
      </c>
      <c r="N1" s="116" t="s">
        <v>74</v>
      </c>
      <c r="O1" s="116" t="s">
        <v>20</v>
      </c>
      <c r="P1" s="116" t="s">
        <v>25</v>
      </c>
      <c r="Q1" s="118" t="s">
        <v>75</v>
      </c>
      <c r="R1" s="10"/>
      <c r="S1" s="176" t="s">
        <v>76</v>
      </c>
      <c r="T1" s="116" t="s">
        <v>73</v>
      </c>
      <c r="U1" s="116" t="s">
        <v>74</v>
      </c>
      <c r="V1" s="116" t="s">
        <v>20</v>
      </c>
      <c r="W1" s="116" t="s">
        <v>25</v>
      </c>
      <c r="X1" s="118" t="s">
        <v>75</v>
      </c>
      <c r="Y1" s="10"/>
      <c r="Z1" s="124" t="s">
        <v>405</v>
      </c>
      <c r="AA1" s="130" t="s">
        <v>74</v>
      </c>
      <c r="AB1" s="139" t="s">
        <v>414</v>
      </c>
      <c r="AC1" s="68" t="s">
        <v>25</v>
      </c>
      <c r="AD1" s="147" t="s">
        <v>415</v>
      </c>
      <c r="AE1" s="172"/>
      <c r="AF1" s="148"/>
      <c r="AG1" s="10"/>
      <c r="AH1" s="124" t="s">
        <v>474</v>
      </c>
      <c r="AI1" s="130" t="s">
        <v>74</v>
      </c>
      <c r="AJ1" s="132" t="s">
        <v>20</v>
      </c>
      <c r="AK1" s="132" t="s">
        <v>25</v>
      </c>
      <c r="AL1" s="139" t="s">
        <v>75</v>
      </c>
    </row>
    <row r="2" spans="1:38" ht="15.75" thickBot="1" x14ac:dyDescent="0.3">
      <c r="A2" s="128"/>
      <c r="B2" s="128"/>
      <c r="C2" s="138"/>
      <c r="D2" s="136"/>
      <c r="E2" s="137"/>
      <c r="F2" s="153"/>
      <c r="G2" s="126"/>
      <c r="H2" s="131"/>
      <c r="I2" s="133"/>
      <c r="J2" s="140"/>
      <c r="K2" s="10"/>
      <c r="L2" s="175"/>
      <c r="M2" s="164"/>
      <c r="N2" s="117"/>
      <c r="O2" s="117"/>
      <c r="P2" s="117"/>
      <c r="Q2" s="119"/>
      <c r="R2" s="10"/>
      <c r="S2" s="177"/>
      <c r="T2" s="117"/>
      <c r="U2" s="117"/>
      <c r="V2" s="117"/>
      <c r="W2" s="117"/>
      <c r="X2" s="119"/>
      <c r="Y2" s="10"/>
      <c r="Z2" s="126"/>
      <c r="AA2" s="131"/>
      <c r="AB2" s="140"/>
      <c r="AC2" s="69">
        <f>IF(AD2&gt;0,0,-(AD2*3))</f>
        <v>0</v>
      </c>
      <c r="AD2" s="161">
        <f>IF((C4+C5+C6)=0,0,((IF(C4=1,7,0))+(IF(C5=1,3,0))+(IF(C6=1,6,0))-(SUM(AB3:AB53))))</f>
        <v>0</v>
      </c>
      <c r="AE2" s="173"/>
      <c r="AF2" s="162"/>
      <c r="AG2" s="10"/>
      <c r="AH2" s="126"/>
      <c r="AI2" s="131"/>
      <c r="AJ2" s="133"/>
      <c r="AK2" s="133"/>
      <c r="AL2" s="140"/>
    </row>
    <row r="3" spans="1:38" ht="16.5" thickTop="1" thickBot="1" x14ac:dyDescent="0.3">
      <c r="E3" s="33"/>
      <c r="F3" s="7"/>
      <c r="G3" s="30" t="s">
        <v>26</v>
      </c>
      <c r="H3" s="60"/>
      <c r="I3" s="25">
        <f>IF(H3=1,(IF(C18=1,2,4)),0)</f>
        <v>0</v>
      </c>
      <c r="J3" s="26" t="str">
        <f>IF(H3&lt;1,"-","Katonai képzettségek 1 HP-ba kerülnek 2 helyett")</f>
        <v>-</v>
      </c>
      <c r="L3" s="97" t="s">
        <v>241</v>
      </c>
      <c r="M3" s="114" t="s">
        <v>77</v>
      </c>
      <c r="N3" s="122"/>
      <c r="O3" s="63"/>
      <c r="P3" s="2">
        <f>IF(O3=0,0,(IF(O3=1,2,0))-(IF($H$10=1,1,0)))</f>
        <v>0</v>
      </c>
      <c r="Q3" s="35"/>
      <c r="S3" s="96" t="s">
        <v>315</v>
      </c>
      <c r="T3" s="114" t="s">
        <v>242</v>
      </c>
      <c r="U3" s="122"/>
      <c r="V3" s="66"/>
      <c r="W3" s="2">
        <f>IF(V3=0,0,(IF(V3=1,2,0))-(IF($H$3=1,1,0)))</f>
        <v>0</v>
      </c>
      <c r="X3" s="35"/>
      <c r="Z3" s="178" t="s">
        <v>408</v>
      </c>
      <c r="AA3" s="41" t="s">
        <v>409</v>
      </c>
      <c r="AB3" s="73"/>
      <c r="AC3" s="70">
        <f>IF(AB3=0,0,(AB3*3))</f>
        <v>0</v>
      </c>
      <c r="AH3" s="170" t="s">
        <v>470</v>
      </c>
      <c r="AI3" s="27" t="s">
        <v>475</v>
      </c>
      <c r="AJ3" s="83"/>
      <c r="AK3" s="25">
        <f>AJ3*3</f>
        <v>0</v>
      </c>
      <c r="AL3" s="85">
        <f>AJ3+(IF(C10=1,1,0))</f>
        <v>0</v>
      </c>
    </row>
    <row r="4" spans="1:38" ht="15.75" customHeight="1" thickTop="1" thickBot="1" x14ac:dyDescent="0.3">
      <c r="A4" s="124" t="s">
        <v>6</v>
      </c>
      <c r="B4" s="34" t="s">
        <v>7</v>
      </c>
      <c r="C4" s="50"/>
      <c r="D4" s="147" t="s">
        <v>407</v>
      </c>
      <c r="E4" s="148"/>
      <c r="F4" s="7"/>
      <c r="G4" s="31" t="s">
        <v>27</v>
      </c>
      <c r="H4" s="61"/>
      <c r="I4" s="3">
        <f>IF(H4=1,2,0)</f>
        <v>0</v>
      </c>
      <c r="J4" s="4" t="str">
        <f>IF(H4&lt;1,"-","Lopakodás és Követés +1 dobott kocka. Harcban első sebzés -1 kocka")</f>
        <v>-</v>
      </c>
      <c r="L4" s="97"/>
      <c r="M4" s="106" t="s">
        <v>77</v>
      </c>
      <c r="N4" s="41" t="s">
        <v>78</v>
      </c>
      <c r="O4" s="64"/>
      <c r="P4" s="3">
        <f>O4</f>
        <v>0</v>
      </c>
      <c r="Q4" s="36">
        <f>((IF(O3=1,1,0))+O4+(IF((O25&gt;0),1,0)))</f>
        <v>0</v>
      </c>
      <c r="S4" s="97"/>
      <c r="T4" s="112" t="s">
        <v>242</v>
      </c>
      <c r="U4" s="77" t="s">
        <v>466</v>
      </c>
      <c r="V4" s="64"/>
      <c r="W4" s="3">
        <f>V4</f>
        <v>0</v>
      </c>
      <c r="X4" s="36">
        <f>(IF(V3=1,1,0))+V5</f>
        <v>0</v>
      </c>
      <c r="Z4" s="160"/>
      <c r="AA4" s="42" t="s">
        <v>410</v>
      </c>
      <c r="AB4" s="51"/>
      <c r="AC4" s="71">
        <f t="shared" ref="AC4:AC53" si="0">IF(AB4=0,0,(AB4*3))</f>
        <v>0</v>
      </c>
      <c r="AH4" s="125"/>
      <c r="AI4" s="28" t="s">
        <v>476</v>
      </c>
      <c r="AJ4" s="64"/>
      <c r="AK4" s="3">
        <f t="shared" ref="AK4:AK26" si="1">AJ4*3</f>
        <v>0</v>
      </c>
      <c r="AL4" s="36">
        <f>AJ4+(IF(C10=1,1,0))</f>
        <v>0</v>
      </c>
    </row>
    <row r="5" spans="1:38" ht="15.75" thickBot="1" x14ac:dyDescent="0.3">
      <c r="A5" s="125"/>
      <c r="B5" s="28" t="s">
        <v>8</v>
      </c>
      <c r="C5" s="51"/>
      <c r="D5" s="149" t="str">
        <f>IF((SUM(AB3:AB53))&gt;24,"Mester",(IF((SUM(AB3:AB53))&gt;15,"Beavatott",(IF((SUM(AB3:AB53))&gt;0,"Tanonc","-")))))</f>
        <v>-</v>
      </c>
      <c r="E5" s="150"/>
      <c r="F5" s="7"/>
      <c r="G5" s="31" t="s">
        <v>28</v>
      </c>
      <c r="H5" s="61"/>
      <c r="I5" s="3">
        <f>IF(H5=1,(IF(C24=1,1,3)),0)</f>
        <v>0</v>
      </c>
      <c r="J5" s="4" t="str">
        <f>IF(H5&lt;1,"-","Bal kézzel +1 dobott kocka a támadáshoz")</f>
        <v>-</v>
      </c>
      <c r="L5" s="97"/>
      <c r="M5" s="107"/>
      <c r="N5" s="42" t="s">
        <v>79</v>
      </c>
      <c r="O5" s="64"/>
      <c r="P5" s="3">
        <f t="shared" ref="P5:P6" si="2">O5</f>
        <v>0</v>
      </c>
      <c r="Q5" s="36">
        <f>(IF(O3=1,1,0))+O5+(IF((O25&gt;0),1,0))</f>
        <v>0</v>
      </c>
      <c r="S5" s="97"/>
      <c r="T5" s="113"/>
      <c r="U5" s="41" t="s">
        <v>243</v>
      </c>
      <c r="V5" s="64"/>
      <c r="W5" s="3">
        <f>V5</f>
        <v>0</v>
      </c>
      <c r="X5" s="36">
        <f>(IF(V7=1,1,0))+V9</f>
        <v>0</v>
      </c>
      <c r="Z5" s="160"/>
      <c r="AA5" s="42" t="s">
        <v>411</v>
      </c>
      <c r="AB5" s="51"/>
      <c r="AC5" s="71">
        <f t="shared" si="0"/>
        <v>0</v>
      </c>
      <c r="AH5" s="125"/>
      <c r="AI5" s="28" t="s">
        <v>477</v>
      </c>
      <c r="AJ5" s="64"/>
      <c r="AK5" s="3">
        <f t="shared" si="1"/>
        <v>0</v>
      </c>
      <c r="AL5" s="36">
        <f>AJ5+(IF(C10=1,1,0))</f>
        <v>0</v>
      </c>
    </row>
    <row r="6" spans="1:38" ht="15.75" thickBot="1" x14ac:dyDescent="0.3">
      <c r="A6" s="126"/>
      <c r="B6" s="29" t="s">
        <v>9</v>
      </c>
      <c r="C6" s="52"/>
      <c r="D6" s="151"/>
      <c r="E6" s="152"/>
      <c r="F6" s="7"/>
      <c r="G6" s="31" t="s">
        <v>29</v>
      </c>
      <c r="H6" s="61"/>
      <c r="I6" s="3">
        <f>IF(H6=1,1,0)</f>
        <v>0</v>
      </c>
      <c r="J6" s="4" t="str">
        <f>IF(H6&lt;1,"-","Dobásaidon nem érződik az alkohol hatása")</f>
        <v>-</v>
      </c>
      <c r="L6" s="97"/>
      <c r="M6" s="107"/>
      <c r="N6" s="47" t="s">
        <v>80</v>
      </c>
      <c r="O6" s="64"/>
      <c r="P6" s="3">
        <f t="shared" si="2"/>
        <v>0</v>
      </c>
      <c r="Q6" s="36">
        <f>(IF(O3=1,1,0))+O6</f>
        <v>0</v>
      </c>
      <c r="S6" s="97"/>
      <c r="T6" s="113"/>
      <c r="U6" s="42" t="s">
        <v>244</v>
      </c>
      <c r="V6" s="64"/>
      <c r="W6" s="3">
        <f t="shared" ref="W6:W7" si="3">V6</f>
        <v>0</v>
      </c>
      <c r="X6" s="36">
        <f>(IF(V7=1,1,0))+V9</f>
        <v>0</v>
      </c>
      <c r="Z6" s="160"/>
      <c r="AA6" s="42" t="s">
        <v>412</v>
      </c>
      <c r="AB6" s="51"/>
      <c r="AC6" s="71">
        <f t="shared" si="0"/>
        <v>0</v>
      </c>
      <c r="AH6" s="171"/>
      <c r="AI6" s="87" t="s">
        <v>478</v>
      </c>
      <c r="AJ6" s="84"/>
      <c r="AK6" s="82">
        <f t="shared" si="1"/>
        <v>0</v>
      </c>
      <c r="AL6" s="86">
        <f>AJ6+(IF(C10=1,1,0))</f>
        <v>0</v>
      </c>
    </row>
    <row r="7" spans="1:38" ht="16.5" thickTop="1" thickBot="1" x14ac:dyDescent="0.3">
      <c r="F7" s="7"/>
      <c r="G7" s="31" t="s">
        <v>30</v>
      </c>
      <c r="H7" s="61"/>
      <c r="I7" s="3">
        <f>IF(H7=1,3,0)</f>
        <v>0</v>
      </c>
      <c r="J7" s="4" t="str">
        <f>IF(H7&lt;1,"-","Városlakó képzettség, -10 hírnév (1 hírnév kocka), Nem vehető fel a Kitüntetés")</f>
        <v>-</v>
      </c>
      <c r="L7" s="97"/>
      <c r="M7" s="107"/>
      <c r="N7" s="41" t="s">
        <v>81</v>
      </c>
      <c r="O7" s="64"/>
      <c r="P7" s="3">
        <f>IF(O7=0,0,(O7*3)-((IF($H$14=1,2,0)*O7)))</f>
        <v>0</v>
      </c>
      <c r="Q7" s="36">
        <f>O7</f>
        <v>0</v>
      </c>
      <c r="S7" s="97"/>
      <c r="T7" s="113"/>
      <c r="U7" s="42" t="s">
        <v>245</v>
      </c>
      <c r="V7" s="64"/>
      <c r="W7" s="3">
        <f t="shared" si="3"/>
        <v>0</v>
      </c>
      <c r="X7" s="36">
        <f>(IF(V7=1,1,0))+V9</f>
        <v>0</v>
      </c>
      <c r="Z7" s="160"/>
      <c r="AA7" s="67" t="s">
        <v>413</v>
      </c>
      <c r="AB7" s="74"/>
      <c r="AC7" s="72">
        <f t="shared" si="0"/>
        <v>0</v>
      </c>
      <c r="AH7" s="170" t="s">
        <v>473</v>
      </c>
      <c r="AI7" s="27" t="s">
        <v>475</v>
      </c>
      <c r="AJ7" s="83"/>
      <c r="AK7" s="25">
        <f t="shared" si="1"/>
        <v>0</v>
      </c>
      <c r="AL7" s="85">
        <f>AJ7+(IF($C$13=1,1,0))</f>
        <v>0</v>
      </c>
    </row>
    <row r="8" spans="1:38" ht="16.5" thickTop="1" thickBot="1" x14ac:dyDescent="0.3">
      <c r="A8" s="124" t="s">
        <v>467</v>
      </c>
      <c r="B8" s="34" t="s">
        <v>468</v>
      </c>
      <c r="C8" s="50"/>
      <c r="D8" s="81">
        <f>IF(C8=1,(IF(C17=1,25,35)),0)</f>
        <v>0</v>
      </c>
      <c r="F8" s="7"/>
      <c r="G8" s="31" t="s">
        <v>42</v>
      </c>
      <c r="H8" s="61"/>
      <c r="I8" s="3">
        <f>IF(H8=1,20,0)+IF(H8=2,40,0)</f>
        <v>0</v>
      </c>
      <c r="J8" s="4" t="str">
        <f>IF(H8&lt;1,"-",(IF(H8=2,"16 pont Dracheneisenre, másik lapon a szabályok","6 pont Dracheneisenre, másik lapon a szabályok")))</f>
        <v>-</v>
      </c>
      <c r="L8" s="97"/>
      <c r="M8" s="107"/>
      <c r="N8" s="42" t="s">
        <v>82</v>
      </c>
      <c r="O8" s="64"/>
      <c r="P8" s="3">
        <f t="shared" ref="P8:P13" si="4">IF(O8=0,0,(O8*3)-((IF($H$14=1,2,0)*O8)))</f>
        <v>0</v>
      </c>
      <c r="Q8" s="36">
        <f t="shared" ref="Q8:Q13" si="5">O8</f>
        <v>0</v>
      </c>
      <c r="S8" s="97"/>
      <c r="T8" s="113"/>
      <c r="U8" s="42" t="s">
        <v>246</v>
      </c>
      <c r="V8" s="64"/>
      <c r="W8" s="3">
        <f>V8</f>
        <v>0</v>
      </c>
      <c r="X8" s="36">
        <f>(IF(V7=1,1,0))+V8</f>
        <v>0</v>
      </c>
      <c r="Z8" s="160" t="s">
        <v>416</v>
      </c>
      <c r="AA8" s="27" t="s">
        <v>417</v>
      </c>
      <c r="AB8" s="73"/>
      <c r="AC8" s="70">
        <f t="shared" si="0"/>
        <v>0</v>
      </c>
      <c r="AH8" s="125"/>
      <c r="AI8" s="28" t="s">
        <v>479</v>
      </c>
      <c r="AJ8" s="64"/>
      <c r="AK8" s="3">
        <f t="shared" si="1"/>
        <v>0</v>
      </c>
      <c r="AL8" s="36">
        <f t="shared" ref="AL8:AL10" si="6">AJ8+(IF($C$13=1,1,0))</f>
        <v>0</v>
      </c>
    </row>
    <row r="9" spans="1:38" ht="15.75" thickBot="1" x14ac:dyDescent="0.3">
      <c r="A9" s="125"/>
      <c r="B9" s="28" t="s">
        <v>469</v>
      </c>
      <c r="C9" s="51"/>
      <c r="D9" s="81">
        <f t="shared" ref="D9:D11" si="7">IF(C9=1,(IF(C18=1,25,35)),0)</f>
        <v>0</v>
      </c>
      <c r="F9" s="7"/>
      <c r="G9" s="31" t="s">
        <v>31</v>
      </c>
      <c r="H9" s="61"/>
      <c r="I9" s="3">
        <f>IF(H9=1,2,0)</f>
        <v>0</v>
      </c>
      <c r="J9" s="4" t="str">
        <f>IF(H9&lt;1,"-","Vérzékelés és megleptés elleni dobások +1 dobott kocka")</f>
        <v>-</v>
      </c>
      <c r="L9" s="97"/>
      <c r="M9" s="107"/>
      <c r="N9" s="42" t="s">
        <v>87</v>
      </c>
      <c r="O9" s="64"/>
      <c r="P9" s="3">
        <f t="shared" si="4"/>
        <v>0</v>
      </c>
      <c r="Q9" s="36">
        <f t="shared" si="5"/>
        <v>0</v>
      </c>
      <c r="S9" s="97"/>
      <c r="T9" s="113"/>
      <c r="U9" s="42" t="s">
        <v>247</v>
      </c>
      <c r="V9" s="64"/>
      <c r="W9" s="3">
        <f t="shared" ref="W9:W10" si="8">V9</f>
        <v>0</v>
      </c>
      <c r="X9" s="36">
        <f>(IF(V7=1,1,0))+V9</f>
        <v>0</v>
      </c>
      <c r="Z9" s="160"/>
      <c r="AA9" s="28" t="s">
        <v>418</v>
      </c>
      <c r="AB9" s="51"/>
      <c r="AC9" s="71">
        <f t="shared" si="0"/>
        <v>0</v>
      </c>
      <c r="AH9" s="125"/>
      <c r="AI9" s="28" t="s">
        <v>476</v>
      </c>
      <c r="AJ9" s="64"/>
      <c r="AK9" s="3">
        <f t="shared" si="1"/>
        <v>0</v>
      </c>
      <c r="AL9" s="36">
        <f t="shared" si="6"/>
        <v>0</v>
      </c>
    </row>
    <row r="10" spans="1:38" ht="15.75" thickBot="1" x14ac:dyDescent="0.3">
      <c r="A10" s="125"/>
      <c r="B10" s="28" t="s">
        <v>470</v>
      </c>
      <c r="C10" s="51"/>
      <c r="D10" s="81">
        <f t="shared" si="7"/>
        <v>0</v>
      </c>
      <c r="F10" s="7"/>
      <c r="G10" s="31" t="s">
        <v>32</v>
      </c>
      <c r="H10" s="61"/>
      <c r="I10" s="3">
        <f>IF(H10=1,(IF(C19=1,2,4)),0)</f>
        <v>0</v>
      </c>
      <c r="J10" s="4" t="str">
        <f>IF(H10&lt;1,"-","Polgári képzettségek 1 HP-ba kerülnek 2 helyett")</f>
        <v>-</v>
      </c>
      <c r="L10" s="97"/>
      <c r="M10" s="107"/>
      <c r="N10" s="42" t="s">
        <v>83</v>
      </c>
      <c r="O10" s="64"/>
      <c r="P10" s="3">
        <f t="shared" si="4"/>
        <v>0</v>
      </c>
      <c r="Q10" s="36">
        <f t="shared" si="5"/>
        <v>0</v>
      </c>
      <c r="S10" s="97"/>
      <c r="T10" s="114"/>
      <c r="U10" s="43" t="s">
        <v>248</v>
      </c>
      <c r="V10" s="64"/>
      <c r="W10" s="3">
        <f t="shared" si="8"/>
        <v>0</v>
      </c>
      <c r="X10" s="36">
        <f>(IF(V7=1,1,0))+V10</f>
        <v>0</v>
      </c>
      <c r="Z10" s="160"/>
      <c r="AA10" s="28" t="s">
        <v>419</v>
      </c>
      <c r="AB10" s="51"/>
      <c r="AC10" s="71">
        <f t="shared" si="0"/>
        <v>0</v>
      </c>
      <c r="AH10" s="171"/>
      <c r="AI10" s="87" t="s">
        <v>478</v>
      </c>
      <c r="AJ10" s="84"/>
      <c r="AK10" s="82">
        <f t="shared" si="1"/>
        <v>0</v>
      </c>
      <c r="AL10" s="86">
        <f t="shared" si="6"/>
        <v>0</v>
      </c>
    </row>
    <row r="11" spans="1:38" ht="15.75" thickBot="1" x14ac:dyDescent="0.3">
      <c r="A11" s="125"/>
      <c r="B11" s="28" t="s">
        <v>471</v>
      </c>
      <c r="C11" s="51"/>
      <c r="D11" s="81">
        <f t="shared" si="7"/>
        <v>0</v>
      </c>
      <c r="F11" s="7"/>
      <c r="G11" s="31" t="s">
        <v>33</v>
      </c>
      <c r="H11" s="61"/>
      <c r="I11" s="3">
        <f>IF(H11=1,4,0)</f>
        <v>0</v>
      </c>
      <c r="J11" s="4" t="str">
        <f>IF(H11&lt;1,"-","Polgári képzettségek olcsóbbak")</f>
        <v>-</v>
      </c>
      <c r="L11" s="97"/>
      <c r="M11" s="107"/>
      <c r="N11" s="42" t="s">
        <v>84</v>
      </c>
      <c r="O11" s="64"/>
      <c r="P11" s="3">
        <f t="shared" si="4"/>
        <v>0</v>
      </c>
      <c r="Q11" s="36">
        <f t="shared" si="5"/>
        <v>0</v>
      </c>
      <c r="S11" s="97"/>
      <c r="T11" s="99" t="s">
        <v>249</v>
      </c>
      <c r="U11" s="100"/>
      <c r="V11" s="61"/>
      <c r="W11" s="3">
        <f>IF(V11=0,0,(IF(V11=1,2,0))-(IF($H$3=1,1,0)))</f>
        <v>0</v>
      </c>
      <c r="X11" s="37"/>
      <c r="Z11" s="160"/>
      <c r="AA11" s="28" t="s">
        <v>420</v>
      </c>
      <c r="AB11" s="51"/>
      <c r="AC11" s="71">
        <f t="shared" si="0"/>
        <v>0</v>
      </c>
      <c r="AH11" s="170" t="s">
        <v>468</v>
      </c>
      <c r="AI11" s="27" t="s">
        <v>480</v>
      </c>
      <c r="AJ11" s="83"/>
      <c r="AK11" s="25">
        <f t="shared" si="1"/>
        <v>0</v>
      </c>
      <c r="AL11" s="85">
        <f>AJ11+(IF($C$8=1,1,0))</f>
        <v>0</v>
      </c>
    </row>
    <row r="12" spans="1:38" ht="15.75" thickBot="1" x14ac:dyDescent="0.3">
      <c r="A12" s="125"/>
      <c r="B12" s="28" t="s">
        <v>472</v>
      </c>
      <c r="C12" s="51"/>
      <c r="D12" s="81">
        <f>IF(C12=1,(IF((C22+C23)=1,25,35)),0)</f>
        <v>0</v>
      </c>
      <c r="F12" s="7"/>
      <c r="G12" s="31" t="s">
        <v>34</v>
      </c>
      <c r="H12" s="61"/>
      <c r="I12" s="3">
        <f>IF(H12=1,3,0)</f>
        <v>0</v>
      </c>
      <c r="J12" s="4" t="str">
        <f>IF(H12&lt;1,"-","Kezdeményezéskor az egyik kockát újradobhatod")</f>
        <v>-</v>
      </c>
      <c r="L12" s="97"/>
      <c r="M12" s="107"/>
      <c r="N12" s="42" t="s">
        <v>85</v>
      </c>
      <c r="O12" s="64"/>
      <c r="P12" s="3">
        <f t="shared" si="4"/>
        <v>0</v>
      </c>
      <c r="Q12" s="36">
        <f t="shared" si="5"/>
        <v>0</v>
      </c>
      <c r="S12" s="97"/>
      <c r="T12" s="106" t="s">
        <v>249</v>
      </c>
      <c r="U12" s="41" t="s">
        <v>250</v>
      </c>
      <c r="V12" s="64"/>
      <c r="W12" s="3">
        <f>V12</f>
        <v>0</v>
      </c>
      <c r="X12" s="36">
        <f>(IF(V11=1,1,0))+V12</f>
        <v>0</v>
      </c>
      <c r="Z12" s="160"/>
      <c r="AA12" s="28" t="s">
        <v>421</v>
      </c>
      <c r="AB12" s="51"/>
      <c r="AC12" s="71">
        <f t="shared" si="0"/>
        <v>0</v>
      </c>
      <c r="AH12" s="125"/>
      <c r="AI12" s="28" t="s">
        <v>481</v>
      </c>
      <c r="AJ12" s="64"/>
      <c r="AK12" s="3">
        <f t="shared" si="1"/>
        <v>0</v>
      </c>
      <c r="AL12" s="36">
        <f t="shared" ref="AL12:AL14" si="9">AJ12+(IF($C$8=1,1,0))</f>
        <v>0</v>
      </c>
    </row>
    <row r="13" spans="1:38" ht="15.75" thickBot="1" x14ac:dyDescent="0.3">
      <c r="A13" s="126"/>
      <c r="B13" s="29" t="s">
        <v>473</v>
      </c>
      <c r="C13" s="52"/>
      <c r="D13" s="81">
        <f>IF(C13=1,(IF(C24=1,25,35)),0)</f>
        <v>0</v>
      </c>
      <c r="F13" s="7"/>
      <c r="G13" s="31" t="s">
        <v>35</v>
      </c>
      <c r="H13" s="61"/>
      <c r="I13" s="3">
        <f>IF(H13=1,5,0)</f>
        <v>0</v>
      </c>
      <c r="J13" s="4" t="str">
        <f>IF(H13&lt;1,"-","Karakter mélyen vallásos, a KM dönt afelöl, hogy ez miképp jelenik meg")</f>
        <v>-</v>
      </c>
      <c r="L13" s="97"/>
      <c r="M13" s="115"/>
      <c r="N13" s="43" t="s">
        <v>86</v>
      </c>
      <c r="O13" s="64"/>
      <c r="P13" s="3">
        <f t="shared" si="4"/>
        <v>0</v>
      </c>
      <c r="Q13" s="36">
        <f t="shared" si="5"/>
        <v>0</v>
      </c>
      <c r="S13" s="97"/>
      <c r="T13" s="107"/>
      <c r="U13" s="42" t="s">
        <v>251</v>
      </c>
      <c r="V13" s="64"/>
      <c r="W13" s="3">
        <f t="shared" ref="W13:W14" si="10">V13</f>
        <v>0</v>
      </c>
      <c r="X13" s="36">
        <f>(IF(V11=1,1,0))+V13+(IF((V62&gt;0),1,0))</f>
        <v>0</v>
      </c>
      <c r="Z13" s="160"/>
      <c r="AA13" s="28" t="s">
        <v>422</v>
      </c>
      <c r="AB13" s="51"/>
      <c r="AC13" s="71">
        <f t="shared" si="0"/>
        <v>0</v>
      </c>
      <c r="AH13" s="125"/>
      <c r="AI13" s="28" t="s">
        <v>476</v>
      </c>
      <c r="AJ13" s="64"/>
      <c r="AK13" s="3">
        <f t="shared" si="1"/>
        <v>0</v>
      </c>
      <c r="AL13" s="36">
        <f t="shared" si="9"/>
        <v>0</v>
      </c>
    </row>
    <row r="14" spans="1:38" ht="16.5" thickTop="1" thickBot="1" x14ac:dyDescent="0.3">
      <c r="F14" s="7"/>
      <c r="G14" s="31" t="s">
        <v>37</v>
      </c>
      <c r="H14" s="61"/>
      <c r="I14" s="3">
        <f>IF(H14=1,10,0)</f>
        <v>0</v>
      </c>
      <c r="J14" s="4" t="str">
        <f>IF(H14&lt;1,"-","Polgári mesterfortélyok 1 pontba kerülnek 3 helyett,beszéled és írod a Théait")</f>
        <v>-</v>
      </c>
      <c r="L14" s="97"/>
      <c r="M14" s="99" t="s">
        <v>121</v>
      </c>
      <c r="N14" s="100"/>
      <c r="O14" s="61"/>
      <c r="P14" s="3">
        <f>IF(O14=0,0,(IF(O14=1,2,0))-(IF($H$10=1,1,0)))</f>
        <v>0</v>
      </c>
      <c r="Q14" s="37"/>
      <c r="S14" s="97"/>
      <c r="T14" s="107"/>
      <c r="U14" s="42" t="s">
        <v>202</v>
      </c>
      <c r="V14" s="64"/>
      <c r="W14" s="3">
        <f t="shared" si="10"/>
        <v>0</v>
      </c>
      <c r="X14" s="36">
        <f>(IF(V11=1,1,0))+V14+(IF((O72&gt;0),1,0))</f>
        <v>0</v>
      </c>
      <c r="Z14" s="160"/>
      <c r="AA14" s="28" t="s">
        <v>423</v>
      </c>
      <c r="AB14" s="51"/>
      <c r="AC14" s="71">
        <f t="shared" si="0"/>
        <v>0</v>
      </c>
      <c r="AH14" s="171"/>
      <c r="AI14" s="87" t="s">
        <v>478</v>
      </c>
      <c r="AJ14" s="84"/>
      <c r="AK14" s="82">
        <f t="shared" si="1"/>
        <v>0</v>
      </c>
      <c r="AL14" s="86">
        <f t="shared" si="9"/>
        <v>0</v>
      </c>
    </row>
    <row r="15" spans="1:38" ht="15.75" thickBot="1" x14ac:dyDescent="0.3">
      <c r="F15" s="7"/>
      <c r="G15" s="31" t="s">
        <v>38</v>
      </c>
      <c r="H15" s="61"/>
      <c r="I15" s="3">
        <f>IF(H15=1,4,0)</f>
        <v>0</v>
      </c>
      <c r="J15" s="4" t="str">
        <f>IF(H15&lt;1,"-","Kezdeti hírneved 10 (+1 hírnévkocka), Nem vehető fel a Csirkefogó")</f>
        <v>-</v>
      </c>
      <c r="L15" s="97"/>
      <c r="M15" s="120" t="s">
        <v>121</v>
      </c>
      <c r="N15" s="41" t="s">
        <v>122</v>
      </c>
      <c r="O15" s="64"/>
      <c r="P15" s="3">
        <f>O15</f>
        <v>0</v>
      </c>
      <c r="Q15" s="36">
        <f>(IF(O14=1,1,0))+O15</f>
        <v>0</v>
      </c>
      <c r="S15" s="97"/>
      <c r="T15" s="107"/>
      <c r="U15" s="43" t="s">
        <v>252</v>
      </c>
      <c r="V15" s="64"/>
      <c r="W15" s="3">
        <f>V15</f>
        <v>0</v>
      </c>
      <c r="X15" s="36">
        <f>(IF(V11=1,1,0))+V15</f>
        <v>0</v>
      </c>
      <c r="Z15" s="160"/>
      <c r="AA15" s="28" t="s">
        <v>424</v>
      </c>
      <c r="AB15" s="51"/>
      <c r="AC15" s="71">
        <f t="shared" si="0"/>
        <v>0</v>
      </c>
      <c r="AH15" s="170" t="s">
        <v>469</v>
      </c>
      <c r="AI15" s="27" t="s">
        <v>480</v>
      </c>
      <c r="AJ15" s="83"/>
      <c r="AK15" s="25">
        <f t="shared" si="1"/>
        <v>0</v>
      </c>
      <c r="AL15" s="85">
        <f>AJ15+(IF($C$9=1,1,0))</f>
        <v>0</v>
      </c>
    </row>
    <row r="16" spans="1:38" ht="16.5" thickTop="1" thickBot="1" x14ac:dyDescent="0.3">
      <c r="F16" s="7"/>
      <c r="G16" s="31" t="s">
        <v>59</v>
      </c>
      <c r="H16" s="61"/>
      <c r="I16" s="3"/>
      <c r="J16" s="129" t="str">
        <f>IF((H16+H17)&lt;1,"-","Anélkül vehetsz fel fortélyt, hogy a képzettséget felvennéd. Ahány pontot költesz itt a az előnyre annyi értékben választhatsz ugyanolyan típusú fortélyt!")</f>
        <v>-</v>
      </c>
      <c r="L16" s="97"/>
      <c r="M16" s="108"/>
      <c r="N16" s="42" t="s">
        <v>125</v>
      </c>
      <c r="O16" s="64"/>
      <c r="P16" s="3">
        <f>O16</f>
        <v>0</v>
      </c>
      <c r="Q16" s="36">
        <f>(IF(O14=1,1,0))+O16+(IF((O94&gt;0),1,0))</f>
        <v>0</v>
      </c>
      <c r="S16" s="97"/>
      <c r="T16" s="107"/>
      <c r="U16" s="44" t="s">
        <v>253</v>
      </c>
      <c r="V16" s="64"/>
      <c r="W16" s="3">
        <f t="shared" ref="W16:W23" si="11">IF(V16=0,0,(V16*3))</f>
        <v>0</v>
      </c>
      <c r="X16" s="36">
        <f t="shared" ref="X16:X23" si="12">V16</f>
        <v>0</v>
      </c>
      <c r="Z16" s="160"/>
      <c r="AA16" s="28" t="s">
        <v>425</v>
      </c>
      <c r="AB16" s="51"/>
      <c r="AC16" s="71">
        <f t="shared" si="0"/>
        <v>0</v>
      </c>
      <c r="AH16" s="125"/>
      <c r="AI16" s="28" t="s">
        <v>481</v>
      </c>
      <c r="AJ16" s="64"/>
      <c r="AK16" s="3">
        <f t="shared" si="1"/>
        <v>0</v>
      </c>
      <c r="AL16" s="36">
        <f t="shared" ref="AL16:AL18" si="13">AJ16+(IF($C$9=1,1,0))</f>
        <v>0</v>
      </c>
    </row>
    <row r="17" spans="1:38" ht="16.5" customHeight="1" thickTop="1" thickBot="1" x14ac:dyDescent="0.3">
      <c r="A17" s="124" t="s">
        <v>10</v>
      </c>
      <c r="B17" s="34" t="s">
        <v>11</v>
      </c>
      <c r="C17" s="50"/>
      <c r="D17" s="141" t="s">
        <v>406</v>
      </c>
      <c r="E17" s="142"/>
      <c r="F17" s="7"/>
      <c r="G17" s="31" t="s">
        <v>60</v>
      </c>
      <c r="H17" s="61"/>
      <c r="I17" s="3"/>
      <c r="J17" s="129"/>
      <c r="L17" s="97"/>
      <c r="M17" s="108"/>
      <c r="N17" s="42" t="s">
        <v>123</v>
      </c>
      <c r="O17" s="64"/>
      <c r="P17" s="3">
        <f>O17</f>
        <v>0</v>
      </c>
      <c r="Q17" s="36">
        <f>(IF(O14=1,1,0))+O17</f>
        <v>0</v>
      </c>
      <c r="S17" s="97"/>
      <c r="T17" s="123"/>
      <c r="U17" s="42" t="s">
        <v>254</v>
      </c>
      <c r="V17" s="64"/>
      <c r="W17" s="3">
        <f t="shared" si="11"/>
        <v>0</v>
      </c>
      <c r="X17" s="36">
        <f t="shared" si="12"/>
        <v>0</v>
      </c>
      <c r="Z17" s="160"/>
      <c r="AA17" s="28" t="s">
        <v>426</v>
      </c>
      <c r="AB17" s="51"/>
      <c r="AC17" s="71">
        <f t="shared" si="0"/>
        <v>0</v>
      </c>
      <c r="AH17" s="125"/>
      <c r="AI17" s="28" t="s">
        <v>482</v>
      </c>
      <c r="AJ17" s="64"/>
      <c r="AK17" s="3">
        <f t="shared" si="1"/>
        <v>0</v>
      </c>
      <c r="AL17" s="36">
        <f t="shared" si="13"/>
        <v>0</v>
      </c>
    </row>
    <row r="18" spans="1:38" ht="15.75" thickBot="1" x14ac:dyDescent="0.3">
      <c r="A18" s="125"/>
      <c r="B18" s="28" t="s">
        <v>12</v>
      </c>
      <c r="C18" s="51"/>
      <c r="D18" s="143"/>
      <c r="E18" s="144"/>
      <c r="F18" s="7"/>
      <c r="G18" s="31" t="s">
        <v>41</v>
      </c>
      <c r="H18" s="61"/>
      <c r="I18" s="3">
        <f>IF(H18=1,5,0)+IF(H18=2,10,0)</f>
        <v>0</v>
      </c>
      <c r="J18" s="4" t="str">
        <f>IF(H18&lt;1,"-",(IF(H18=2,"+2 dobott kocka a szociális próbákhoz","+1 dobott kocka a szociális próbákhoz")))</f>
        <v>-</v>
      </c>
      <c r="K18" s="11"/>
      <c r="L18" s="97"/>
      <c r="M18" s="108"/>
      <c r="N18" s="43" t="s">
        <v>124</v>
      </c>
      <c r="O18" s="64"/>
      <c r="P18" s="3">
        <f>O18</f>
        <v>0</v>
      </c>
      <c r="Q18" s="36">
        <f>(IF(O14=1,1,0))+O18</f>
        <v>0</v>
      </c>
      <c r="S18" s="97"/>
      <c r="T18" s="123"/>
      <c r="U18" s="42" t="s">
        <v>255</v>
      </c>
      <c r="V18" s="64"/>
      <c r="W18" s="3">
        <f t="shared" si="11"/>
        <v>0</v>
      </c>
      <c r="X18" s="36">
        <f t="shared" si="12"/>
        <v>0</v>
      </c>
      <c r="Z18" s="160"/>
      <c r="AA18" s="28" t="s">
        <v>427</v>
      </c>
      <c r="AB18" s="51"/>
      <c r="AC18" s="71">
        <f t="shared" si="0"/>
        <v>0</v>
      </c>
      <c r="AH18" s="171"/>
      <c r="AI18" s="87" t="s">
        <v>478</v>
      </c>
      <c r="AJ18" s="84"/>
      <c r="AK18" s="82">
        <f t="shared" si="1"/>
        <v>0</v>
      </c>
      <c r="AL18" s="86">
        <f t="shared" si="13"/>
        <v>0</v>
      </c>
    </row>
    <row r="19" spans="1:38" ht="16.5" thickTop="1" thickBot="1" x14ac:dyDescent="0.3">
      <c r="A19" s="125"/>
      <c r="B19" s="28" t="s">
        <v>13</v>
      </c>
      <c r="C19" s="51"/>
      <c r="D19" s="143"/>
      <c r="E19" s="144"/>
      <c r="F19" s="7"/>
      <c r="G19" s="31" t="s">
        <v>39</v>
      </c>
      <c r="H19" s="61"/>
      <c r="I19" s="3">
        <f>IF(H19=1,(IF((C22+C23)=1,3,5)),0)</f>
        <v>0</v>
      </c>
      <c r="J19" s="4" t="str">
        <f>IF(H19&lt;1,"-","Sebzés és fenyegetés próbákhoz +1 dobott kocka")</f>
        <v>-</v>
      </c>
      <c r="L19" s="97"/>
      <c r="M19" s="108"/>
      <c r="N19" s="44" t="s">
        <v>126</v>
      </c>
      <c r="O19" s="64"/>
      <c r="P19" s="3">
        <f>IF(O19=0,0,(O19*3)-((IF($H$14=1,2,0)*O19)))</f>
        <v>0</v>
      </c>
      <c r="Q19" s="36">
        <f>O19</f>
        <v>0</v>
      </c>
      <c r="S19" s="97"/>
      <c r="T19" s="123"/>
      <c r="U19" s="42" t="s">
        <v>256</v>
      </c>
      <c r="V19" s="64"/>
      <c r="W19" s="3">
        <f t="shared" si="11"/>
        <v>0</v>
      </c>
      <c r="X19" s="36">
        <f t="shared" si="12"/>
        <v>0</v>
      </c>
      <c r="Z19" s="160"/>
      <c r="AA19" s="28" t="s">
        <v>428</v>
      </c>
      <c r="AB19" s="51"/>
      <c r="AC19" s="71">
        <f t="shared" si="0"/>
        <v>0</v>
      </c>
      <c r="AH19" s="170" t="s">
        <v>472</v>
      </c>
      <c r="AI19" s="27" t="s">
        <v>483</v>
      </c>
      <c r="AJ19" s="83"/>
      <c r="AK19" s="25">
        <f t="shared" si="1"/>
        <v>0</v>
      </c>
      <c r="AL19" s="85">
        <f>AJ19+(IF($C$12=1,1,0))</f>
        <v>0</v>
      </c>
    </row>
    <row r="20" spans="1:38" ht="15.75" thickBot="1" x14ac:dyDescent="0.3">
      <c r="A20" s="125"/>
      <c r="B20" s="28" t="s">
        <v>14</v>
      </c>
      <c r="C20" s="51"/>
      <c r="D20" s="143"/>
      <c r="E20" s="144"/>
      <c r="F20" s="7"/>
      <c r="G20" s="31" t="s">
        <v>40</v>
      </c>
      <c r="H20" s="61"/>
      <c r="I20" s="3">
        <f>IF(H20=1,(IF(C17=1,1,3)),0)</f>
        <v>0</v>
      </c>
      <c r="J20" s="4" t="str">
        <f>IF(H20&lt;1,"-","Tulajdonság maximum +1, kezdésnek nem mehet 3 fölé, nemzeti járulékkal 4 fölé!")</f>
        <v>-</v>
      </c>
      <c r="L20" s="97"/>
      <c r="M20" s="108"/>
      <c r="N20" s="42" t="s">
        <v>127</v>
      </c>
      <c r="O20" s="64"/>
      <c r="P20" s="3">
        <f t="shared" ref="P20:P24" si="14">IF(O20=0,0,(O20*3)-((IF($H$14=1,2,0)*O20)))</f>
        <v>0</v>
      </c>
      <c r="Q20" s="36">
        <f t="shared" ref="Q20:Q24" si="15">O20</f>
        <v>0</v>
      </c>
      <c r="S20" s="97"/>
      <c r="T20" s="123"/>
      <c r="U20" s="42" t="s">
        <v>257</v>
      </c>
      <c r="V20" s="64"/>
      <c r="W20" s="3">
        <f>IF(V20=0,0,(V20*3))</f>
        <v>0</v>
      </c>
      <c r="X20" s="36">
        <f t="shared" si="12"/>
        <v>0</v>
      </c>
      <c r="Z20" s="160"/>
      <c r="AA20" s="28" t="s">
        <v>429</v>
      </c>
      <c r="AB20" s="51"/>
      <c r="AC20" s="71">
        <f t="shared" si="0"/>
        <v>0</v>
      </c>
      <c r="AH20" s="125"/>
      <c r="AI20" s="28" t="s">
        <v>482</v>
      </c>
      <c r="AJ20" s="64"/>
      <c r="AK20" s="3">
        <f t="shared" si="1"/>
        <v>0</v>
      </c>
      <c r="AL20" s="36">
        <f t="shared" ref="AL20:AL22" si="16">AJ20+(IF($C$12=1,1,0))</f>
        <v>0</v>
      </c>
    </row>
    <row r="21" spans="1:38" ht="15.75" thickBot="1" x14ac:dyDescent="0.3">
      <c r="A21" s="125"/>
      <c r="B21" s="28" t="s">
        <v>15</v>
      </c>
      <c r="C21" s="51"/>
      <c r="D21" s="143"/>
      <c r="E21" s="144"/>
      <c r="F21" s="7"/>
      <c r="G21" s="31" t="s">
        <v>88</v>
      </c>
      <c r="H21" s="61"/>
      <c r="I21" s="3">
        <f>IF(H21=0,0,IF(H21=1,10,0)-IF((C4+C5+C6+H8+H14)&lt;1,0,5))</f>
        <v>0</v>
      </c>
      <c r="J21" s="4" t="str">
        <f>IF(H21&lt;1,"-","Karakter nemesi származású. Rendelkezik egy kisebb majorsággal is.")</f>
        <v>-</v>
      </c>
      <c r="L21" s="97"/>
      <c r="M21" s="108"/>
      <c r="N21" s="42" t="s">
        <v>128</v>
      </c>
      <c r="O21" s="64"/>
      <c r="P21" s="3">
        <f t="shared" si="14"/>
        <v>0</v>
      </c>
      <c r="Q21" s="36">
        <f t="shared" si="15"/>
        <v>0</v>
      </c>
      <c r="S21" s="97"/>
      <c r="T21" s="123"/>
      <c r="U21" s="42" t="s">
        <v>258</v>
      </c>
      <c r="V21" s="64"/>
      <c r="W21" s="3">
        <f t="shared" si="11"/>
        <v>0</v>
      </c>
      <c r="X21" s="36">
        <f t="shared" si="12"/>
        <v>0</v>
      </c>
      <c r="Z21" s="160"/>
      <c r="AA21" s="28" t="s">
        <v>430</v>
      </c>
      <c r="AB21" s="51"/>
      <c r="AC21" s="71">
        <f t="shared" si="0"/>
        <v>0</v>
      </c>
      <c r="AH21" s="125"/>
      <c r="AI21" s="28" t="s">
        <v>484</v>
      </c>
      <c r="AJ21" s="64"/>
      <c r="AK21" s="3">
        <f t="shared" si="1"/>
        <v>0</v>
      </c>
      <c r="AL21" s="36">
        <f t="shared" si="16"/>
        <v>0</v>
      </c>
    </row>
    <row r="22" spans="1:38" ht="15.75" thickBot="1" x14ac:dyDescent="0.3">
      <c r="A22" s="125"/>
      <c r="B22" s="28" t="s">
        <v>16</v>
      </c>
      <c r="C22" s="51"/>
      <c r="D22" s="145"/>
      <c r="E22" s="146"/>
      <c r="F22" s="7"/>
      <c r="G22" s="31" t="s">
        <v>43</v>
      </c>
      <c r="H22" s="61"/>
      <c r="I22" s="3">
        <f>IF(H22=0,0,(IF(C17=1,0,(IF(C17=1,0,0))+(IF(C18=1,1,0))+(IF(C19=1,2,0))+(IF(C20=1,2,0))+(IF(C21=1,2,0))+(IF(C22=1,1,0))+(IF(C23=1,1,0))+(IF(C24=1,2,0)))))</f>
        <v>0</v>
      </c>
      <c r="J22" s="129" t="str">
        <f>IF((H22+H23+H24+H25+H26+H27+H28+H29+H30+H31+H32)&lt;1,"-","A karakter beszéli az adott nyelvet. Az anyanyelve ingyenes.")</f>
        <v>-</v>
      </c>
      <c r="L22" s="97"/>
      <c r="M22" s="108"/>
      <c r="N22" s="42" t="s">
        <v>129</v>
      </c>
      <c r="O22" s="64"/>
      <c r="P22" s="3">
        <f t="shared" si="14"/>
        <v>0</v>
      </c>
      <c r="Q22" s="36">
        <f t="shared" si="15"/>
        <v>0</v>
      </c>
      <c r="S22" s="97"/>
      <c r="T22" s="123"/>
      <c r="U22" s="42" t="s">
        <v>209</v>
      </c>
      <c r="V22" s="64"/>
      <c r="W22" s="3">
        <f t="shared" si="11"/>
        <v>0</v>
      </c>
      <c r="X22" s="36">
        <f t="shared" si="12"/>
        <v>0</v>
      </c>
      <c r="Z22" s="160"/>
      <c r="AA22" s="28" t="s">
        <v>431</v>
      </c>
      <c r="AB22" s="51"/>
      <c r="AC22" s="71">
        <f t="shared" si="0"/>
        <v>0</v>
      </c>
      <c r="AH22" s="171"/>
      <c r="AI22" s="87" t="s">
        <v>478</v>
      </c>
      <c r="AJ22" s="84"/>
      <c r="AK22" s="82">
        <f t="shared" si="1"/>
        <v>0</v>
      </c>
      <c r="AL22" s="86">
        <f t="shared" si="16"/>
        <v>0</v>
      </c>
    </row>
    <row r="23" spans="1:38" ht="16.5" thickTop="1" thickBot="1" x14ac:dyDescent="0.3">
      <c r="A23" s="125"/>
      <c r="B23" s="28" t="s">
        <v>17</v>
      </c>
      <c r="C23" s="51"/>
      <c r="D23" s="147" t="s">
        <v>404</v>
      </c>
      <c r="E23" s="148"/>
      <c r="F23" s="7"/>
      <c r="G23" s="31" t="s">
        <v>44</v>
      </c>
      <c r="H23" s="61"/>
      <c r="I23" s="3">
        <f>IF(H23=0,0,(IF(C18=1,0,(IF(C17=1,1,0))+(IF(C18=1,0,0))+(IF(C19=1,2,0))+(IF(C20=1,2,0))+(IF(C21=1,2,0))+(IF(C22=1,1,0))+(IF(C23=1,1,0))+(IF(C24=1,2,0)))))</f>
        <v>0</v>
      </c>
      <c r="J23" s="129"/>
      <c r="L23" s="97"/>
      <c r="M23" s="108"/>
      <c r="N23" s="42" t="s">
        <v>130</v>
      </c>
      <c r="O23" s="64"/>
      <c r="P23" s="3">
        <f t="shared" si="14"/>
        <v>0</v>
      </c>
      <c r="Q23" s="36">
        <f t="shared" si="15"/>
        <v>0</v>
      </c>
      <c r="S23" s="97"/>
      <c r="T23" s="111"/>
      <c r="U23" s="43" t="s">
        <v>210</v>
      </c>
      <c r="V23" s="64"/>
      <c r="W23" s="3">
        <f t="shared" si="11"/>
        <v>0</v>
      </c>
      <c r="X23" s="36">
        <f t="shared" si="12"/>
        <v>0</v>
      </c>
      <c r="Z23" s="160"/>
      <c r="AA23" s="28" t="s">
        <v>432</v>
      </c>
      <c r="AB23" s="51"/>
      <c r="AC23" s="71">
        <f t="shared" si="0"/>
        <v>0</v>
      </c>
      <c r="AH23" s="170" t="s">
        <v>471</v>
      </c>
      <c r="AI23" s="27" t="s">
        <v>475</v>
      </c>
      <c r="AJ23" s="83"/>
      <c r="AK23" s="25">
        <f t="shared" si="1"/>
        <v>0</v>
      </c>
      <c r="AL23" s="85">
        <f>AJ23+(IF($C$11=1,1,0))</f>
        <v>0</v>
      </c>
    </row>
    <row r="24" spans="1:38" ht="15.75" thickBot="1" x14ac:dyDescent="0.3">
      <c r="A24" s="126"/>
      <c r="B24" s="29" t="s">
        <v>18</v>
      </c>
      <c r="C24" s="52"/>
      <c r="D24" s="161">
        <f>IF((H7+H15)&gt;0,1,0)</f>
        <v>0</v>
      </c>
      <c r="E24" s="162"/>
      <c r="F24" s="7"/>
      <c r="G24" s="31" t="s">
        <v>45</v>
      </c>
      <c r="H24" s="61"/>
      <c r="I24" s="3">
        <f>IF(H24=0,0,(IF(C17=1,2,0))+(IF(C18=1,1,0))+(IF(C19=1,3,0))+(IF(C20=1,3,0))+(IF(C21=1,3,0))+(IF(C22=1,2,0))+(IF(C23=1,2,0))+(IF(C24=1,3,0)))</f>
        <v>0</v>
      </c>
      <c r="J24" s="129"/>
      <c r="L24" s="97"/>
      <c r="M24" s="109"/>
      <c r="N24" s="43" t="s">
        <v>84</v>
      </c>
      <c r="O24" s="64"/>
      <c r="P24" s="3">
        <f t="shared" si="14"/>
        <v>0</v>
      </c>
      <c r="Q24" s="36">
        <f t="shared" si="15"/>
        <v>0</v>
      </c>
      <c r="S24" s="97"/>
      <c r="T24" s="99" t="s">
        <v>259</v>
      </c>
      <c r="U24" s="100"/>
      <c r="V24" s="61"/>
      <c r="W24" s="3">
        <f>IF(V24=0,0,(IF(V24=1,2,0))-(IF($H$3=1,1,0)))</f>
        <v>0</v>
      </c>
      <c r="X24" s="37"/>
      <c r="Z24" s="160"/>
      <c r="AA24" s="28" t="s">
        <v>433</v>
      </c>
      <c r="AB24" s="51"/>
      <c r="AC24" s="71">
        <f t="shared" si="0"/>
        <v>0</v>
      </c>
      <c r="AH24" s="125"/>
      <c r="AI24" s="28" t="s">
        <v>485</v>
      </c>
      <c r="AJ24" s="64"/>
      <c r="AK24" s="3">
        <f t="shared" si="1"/>
        <v>0</v>
      </c>
      <c r="AL24" s="36">
        <f t="shared" ref="AL24:AL26" si="17">AJ24+(IF($C$11=1,1,0))</f>
        <v>0</v>
      </c>
    </row>
    <row r="25" spans="1:38" ht="16.5" thickTop="1" thickBot="1" x14ac:dyDescent="0.3">
      <c r="A25" s="7"/>
      <c r="B25" s="8"/>
      <c r="C25" s="8"/>
      <c r="F25" s="7"/>
      <c r="G25" s="31" t="s">
        <v>46</v>
      </c>
      <c r="H25" s="61"/>
      <c r="I25" s="3">
        <f>IF(H25=0,0,(IF(C19=1,0,(IF(C17=1,2,0))+(IF(C18=1,2,0))+(IF(C19=1,0,0))+(IF(C20=1,1,0))+(IF(C21=1,3,0))+(IF(C22=1,2,0))+(IF(C23=1,2,0))+(IF(C24=1,1,0)))))</f>
        <v>0</v>
      </c>
      <c r="J25" s="129"/>
      <c r="L25" s="97"/>
      <c r="M25" s="99" t="s">
        <v>140</v>
      </c>
      <c r="N25" s="100"/>
      <c r="O25" s="61"/>
      <c r="P25" s="3">
        <f>IF(O25=0,0,(IF(O25=1,2,0))-(IF($H$10=1,1,0)))</f>
        <v>0</v>
      </c>
      <c r="Q25" s="37"/>
      <c r="S25" s="97"/>
      <c r="T25" s="106" t="s">
        <v>259</v>
      </c>
      <c r="U25" s="45" t="s">
        <v>260</v>
      </c>
      <c r="V25" s="64"/>
      <c r="W25" s="3">
        <f>V25</f>
        <v>0</v>
      </c>
      <c r="X25" s="36">
        <f>(IF(V24=1,1,0))+V26</f>
        <v>0</v>
      </c>
      <c r="Z25" s="160"/>
      <c r="AA25" s="28" t="s">
        <v>434</v>
      </c>
      <c r="AB25" s="51"/>
      <c r="AC25" s="71">
        <f t="shared" si="0"/>
        <v>0</v>
      </c>
      <c r="AH25" s="125"/>
      <c r="AI25" s="28" t="s">
        <v>477</v>
      </c>
      <c r="AJ25" s="64"/>
      <c r="AK25" s="3">
        <f t="shared" si="1"/>
        <v>0</v>
      </c>
      <c r="AL25" s="36">
        <f t="shared" si="17"/>
        <v>0</v>
      </c>
    </row>
    <row r="26" spans="1:38" ht="31.5" thickTop="1" thickBot="1" x14ac:dyDescent="0.3">
      <c r="A26" s="76" t="s">
        <v>21</v>
      </c>
      <c r="B26" s="80" t="s">
        <v>19</v>
      </c>
      <c r="C26" s="79" t="s">
        <v>20</v>
      </c>
      <c r="D26" s="78" t="s">
        <v>22</v>
      </c>
      <c r="F26" s="7"/>
      <c r="G26" s="31" t="s">
        <v>47</v>
      </c>
      <c r="H26" s="61"/>
      <c r="I26" s="3">
        <f>IF(H26=0,0,(IF(C17=1,3,0))+(IF(C18=1,3,0))+(IF(C19=1,2,0))+(IF(C20=1,4,0))+(IF(C21=1,2,0))+(IF(C22=1,3,0))+(IF(C23=1,3,0))+(IF(C24=1,4,0)))</f>
        <v>0</v>
      </c>
      <c r="J26" s="129"/>
      <c r="L26" s="97"/>
      <c r="M26" s="120" t="s">
        <v>140</v>
      </c>
      <c r="N26" s="41" t="s">
        <v>78</v>
      </c>
      <c r="O26" s="64"/>
      <c r="P26" s="3">
        <f>O26</f>
        <v>0</v>
      </c>
      <c r="Q26" s="36">
        <f>(IF(O25=1,1,0))+O26+(IF((O3&gt;0),1,0))</f>
        <v>0</v>
      </c>
      <c r="S26" s="97"/>
      <c r="T26" s="107"/>
      <c r="U26" s="44" t="s">
        <v>261</v>
      </c>
      <c r="V26" s="64"/>
      <c r="W26" s="3">
        <f>IF(V26=0,0,(V26*3))</f>
        <v>0</v>
      </c>
      <c r="X26" s="36">
        <f>V27</f>
        <v>0</v>
      </c>
      <c r="Z26" s="160"/>
      <c r="AA26" s="28" t="s">
        <v>435</v>
      </c>
      <c r="AB26" s="51"/>
      <c r="AC26" s="71">
        <f t="shared" si="0"/>
        <v>0</v>
      </c>
      <c r="AH26" s="126"/>
      <c r="AI26" s="29" t="s">
        <v>478</v>
      </c>
      <c r="AJ26" s="65"/>
      <c r="AK26" s="5">
        <f t="shared" si="1"/>
        <v>0</v>
      </c>
      <c r="AL26" s="38">
        <f t="shared" si="17"/>
        <v>0</v>
      </c>
    </row>
    <row r="27" spans="1:38" ht="15.75" thickBot="1" x14ac:dyDescent="0.3">
      <c r="A27" s="31" t="s">
        <v>0</v>
      </c>
      <c r="B27" s="28">
        <f>1+(IF(C18=1,1,0))</f>
        <v>1</v>
      </c>
      <c r="C27" s="59"/>
      <c r="D27" s="9">
        <f>SUM(B27:C27)</f>
        <v>1</v>
      </c>
      <c r="F27" s="7"/>
      <c r="G27" s="31" t="s">
        <v>48</v>
      </c>
      <c r="H27" s="61"/>
      <c r="I27" s="3">
        <f>IF(H27=0,0,(IF(C20=1,0,(IF(C17=1,2,0))+(IF(C18=1,2,0))+(IF(C19=1,1,0))+(IF(C20=1,0,0))+(IF(C21=1,3,0))+(IF(C22=1,2,0))+(IF(C23=1,2,0))+(IF(C24=1,1,0)))))</f>
        <v>0</v>
      </c>
      <c r="J27" s="129"/>
      <c r="L27" s="97"/>
      <c r="M27" s="108"/>
      <c r="N27" s="43" t="s">
        <v>79</v>
      </c>
      <c r="O27" s="64"/>
      <c r="P27" s="3">
        <f>O27</f>
        <v>0</v>
      </c>
      <c r="Q27" s="36">
        <f>(IF(O25=1,1,0))+O27+(O26+(IF((O3&gt;0),1,0)))</f>
        <v>0</v>
      </c>
      <c r="S27" s="97"/>
      <c r="T27" s="107"/>
      <c r="U27" s="42" t="s">
        <v>262</v>
      </c>
      <c r="V27" s="64"/>
      <c r="W27" s="3">
        <f>IF(V27=0,0,(V27*3))</f>
        <v>0</v>
      </c>
      <c r="X27" s="36">
        <f>V28</f>
        <v>0</v>
      </c>
      <c r="Z27" s="160"/>
      <c r="AA27" s="28" t="s">
        <v>436</v>
      </c>
      <c r="AB27" s="51"/>
      <c r="AC27" s="71">
        <f t="shared" si="0"/>
        <v>0</v>
      </c>
    </row>
    <row r="28" spans="1:38" ht="16.5" thickTop="1" thickBot="1" x14ac:dyDescent="0.3">
      <c r="A28" s="31" t="s">
        <v>1</v>
      </c>
      <c r="B28" s="28">
        <f>1+(IF(C19=1,1,0))</f>
        <v>1</v>
      </c>
      <c r="C28" s="59"/>
      <c r="D28" s="9">
        <f>SUM(B28:C28)</f>
        <v>1</v>
      </c>
      <c r="F28" s="7"/>
      <c r="G28" s="31" t="s">
        <v>49</v>
      </c>
      <c r="H28" s="61"/>
      <c r="I28" s="3">
        <f>IF(H28=0,0,(IF(C21=1,0,(IF(C17=1,2,0))+(IF(C18=1,2,0))+(IF(C19=1,3,0))+(IF(C20=1,3,0))+(IF(C21=1,0,0))+(IF(C22=1,2,0))+(IF(C23=1,2,0))+(IF(C24=1,3,0)))))</f>
        <v>0</v>
      </c>
      <c r="J28" s="129"/>
      <c r="L28" s="97"/>
      <c r="M28" s="108"/>
      <c r="N28" s="44" t="s">
        <v>126</v>
      </c>
      <c r="O28" s="64"/>
      <c r="P28" s="3">
        <f>IF(O28=0,0,(O28*3)-((IF($H$14=1,2,0)*O28)))</f>
        <v>0</v>
      </c>
      <c r="Q28" s="36">
        <f>O28</f>
        <v>0</v>
      </c>
      <c r="S28" s="97"/>
      <c r="T28" s="107"/>
      <c r="U28" s="42" t="s">
        <v>263</v>
      </c>
      <c r="V28" s="64"/>
      <c r="W28" s="3">
        <f>IF(V28=0,0,(V28*3))</f>
        <v>0</v>
      </c>
      <c r="X28" s="36">
        <f>V29</f>
        <v>0</v>
      </c>
      <c r="Z28" s="160"/>
      <c r="AA28" s="28" t="s">
        <v>437</v>
      </c>
      <c r="AB28" s="51"/>
      <c r="AC28" s="71">
        <f t="shared" si="0"/>
        <v>0</v>
      </c>
    </row>
    <row r="29" spans="1:38" ht="15.75" thickBot="1" x14ac:dyDescent="0.3">
      <c r="A29" s="31" t="s">
        <v>2</v>
      </c>
      <c r="B29" s="28">
        <f>1+(IF(C22=1,1,0))+(IF(C23=1,1,0))+(IF(C24=1,1,0))</f>
        <v>1</v>
      </c>
      <c r="C29" s="59"/>
      <c r="D29" s="9">
        <f>SUM(B29:C29)</f>
        <v>1</v>
      </c>
      <c r="F29" s="7"/>
      <c r="G29" s="31" t="s">
        <v>50</v>
      </c>
      <c r="H29" s="61"/>
      <c r="I29" s="3">
        <f>IF(H29=0,0,(IF(C17=1,3,0))+(IF(C18=1,3,0))+(IF(C19=1,4,0))+(IF(C20=1,4,0))+(IF(C21=1,1,0))+(IF(C22=1,3,0))+(IF(C23=1,3,0))+(IF(C24=1,4,0)))</f>
        <v>0</v>
      </c>
      <c r="J29" s="129"/>
      <c r="L29" s="97"/>
      <c r="M29" s="108"/>
      <c r="N29" s="42" t="s">
        <v>131</v>
      </c>
      <c r="O29" s="64"/>
      <c r="P29" s="3">
        <f t="shared" ref="P29:P37" si="18">IF(O29=0,0,(O29*3)-((IF($H$14=1,2,0)*O29)))</f>
        <v>0</v>
      </c>
      <c r="Q29" s="36">
        <f t="shared" ref="Q29:Q37" si="19">O29</f>
        <v>0</v>
      </c>
      <c r="S29" s="97"/>
      <c r="T29" s="115"/>
      <c r="U29" s="43" t="s">
        <v>264</v>
      </c>
      <c r="V29" s="64"/>
      <c r="W29" s="3">
        <f>IF(V29=0,0,(V29*3))</f>
        <v>0</v>
      </c>
      <c r="X29" s="36">
        <f>V30</f>
        <v>0</v>
      </c>
      <c r="Z29" s="160"/>
      <c r="AA29" s="42" t="s">
        <v>438</v>
      </c>
      <c r="AB29" s="51"/>
      <c r="AC29" s="71">
        <f t="shared" si="0"/>
        <v>0</v>
      </c>
    </row>
    <row r="30" spans="1:38" ht="15.75" thickBot="1" x14ac:dyDescent="0.3">
      <c r="A30" s="31" t="s">
        <v>3</v>
      </c>
      <c r="B30" s="28">
        <f>1+(IF(C17=1,1,0))+(IF(C21=1,1,0))</f>
        <v>1</v>
      </c>
      <c r="C30" s="59"/>
      <c r="D30" s="9">
        <f>SUM(B30:C30)</f>
        <v>1</v>
      </c>
      <c r="F30" s="7"/>
      <c r="G30" s="31" t="s">
        <v>51</v>
      </c>
      <c r="H30" s="61"/>
      <c r="I30" s="3">
        <f>(IF(H30=0,0,(IF(C17=1,3,0))+(IF(C18=1,3,0))+(IF(C19=1,2,0))+(IF(C20=1,2,0))+(IF(C21=1,4,0))+(IF(C22=1,3,0))+(IF(C23=1,3,0))+(IF(C24=1,2,0)))*(IF(H14=1,0,1)))</f>
        <v>0</v>
      </c>
      <c r="J30" s="129"/>
      <c r="L30" s="97"/>
      <c r="M30" s="108"/>
      <c r="N30" s="42" t="s">
        <v>132</v>
      </c>
      <c r="O30" s="64"/>
      <c r="P30" s="3">
        <f t="shared" si="18"/>
        <v>0</v>
      </c>
      <c r="Q30" s="36">
        <f t="shared" si="19"/>
        <v>0</v>
      </c>
      <c r="S30" s="97"/>
      <c r="T30" s="99" t="s">
        <v>265</v>
      </c>
      <c r="U30" s="100"/>
      <c r="V30" s="61"/>
      <c r="W30" s="3">
        <f>IF(V30=0,0,(IF(V30=1,2,0))-(IF($H$3=1,1,0)))</f>
        <v>0</v>
      </c>
      <c r="X30" s="37"/>
      <c r="Z30" s="160"/>
      <c r="AA30" s="42" t="s">
        <v>439</v>
      </c>
      <c r="AB30" s="51"/>
      <c r="AC30" s="71">
        <f t="shared" si="0"/>
        <v>0</v>
      </c>
    </row>
    <row r="31" spans="1:38" ht="15.75" thickBot="1" x14ac:dyDescent="0.3">
      <c r="A31" s="88" t="s">
        <v>4</v>
      </c>
      <c r="B31" s="89">
        <f>1+(IF(C20=1,1,0))</f>
        <v>1</v>
      </c>
      <c r="C31" s="90"/>
      <c r="D31" s="91">
        <f>SUM(B31:C31)</f>
        <v>1</v>
      </c>
      <c r="F31" s="7"/>
      <c r="G31" s="31" t="s">
        <v>52</v>
      </c>
      <c r="H31" s="61"/>
      <c r="I31" s="3">
        <f>IF(H31=0,0,(IF((C22+C23)=1,0,(IF(C17=1,1,0))+(IF(C18=1,1,0))+(IF(C19=1,2,0))+(IF(C20=1,2,0))+(IF(C21=1,2,0))+(IF(C22=1,0,0))+(IF(C23=1,0,0))+(IF(C24=1,2,0)))))</f>
        <v>0</v>
      </c>
      <c r="J31" s="129"/>
      <c r="L31" s="97"/>
      <c r="M31" s="108"/>
      <c r="N31" s="42" t="s">
        <v>133</v>
      </c>
      <c r="O31" s="64"/>
      <c r="P31" s="3">
        <f t="shared" si="18"/>
        <v>0</v>
      </c>
      <c r="Q31" s="36">
        <f t="shared" si="19"/>
        <v>0</v>
      </c>
      <c r="S31" s="97"/>
      <c r="T31" s="106" t="s">
        <v>265</v>
      </c>
      <c r="U31" s="41" t="s">
        <v>266</v>
      </c>
      <c r="V31" s="64"/>
      <c r="W31" s="3">
        <f>V31</f>
        <v>0</v>
      </c>
      <c r="X31" s="36">
        <f>(IF(V30=1,1,0))+V31</f>
        <v>0</v>
      </c>
      <c r="Z31" s="160"/>
      <c r="AA31" s="67" t="s">
        <v>440</v>
      </c>
      <c r="AB31" s="74"/>
      <c r="AC31" s="72">
        <f t="shared" si="0"/>
        <v>0</v>
      </c>
    </row>
    <row r="32" spans="1:38" ht="15.75" thickBot="1" x14ac:dyDescent="0.3">
      <c r="A32" s="154" t="s">
        <v>486</v>
      </c>
      <c r="B32" s="155"/>
      <c r="C32" s="155"/>
      <c r="D32" s="155"/>
      <c r="E32" s="156"/>
      <c r="F32" s="7"/>
      <c r="G32" s="31" t="s">
        <v>53</v>
      </c>
      <c r="H32" s="61"/>
      <c r="I32" s="3">
        <f>IF(H32=0,0,(IF(C24=1,0,(IF(C17=1,2,0))+(IF(C18=1,2,0))+(IF(C19=1,1,0))+(IF(C20=1,1,0))+(IF(C21=1,3,0))+(IF(C22=1,2,0))+(IF(C23=1,120))+(IF(C24=1,0,0)))))</f>
        <v>0</v>
      </c>
      <c r="J32" s="129"/>
      <c r="L32" s="97"/>
      <c r="M32" s="108"/>
      <c r="N32" s="42" t="s">
        <v>134</v>
      </c>
      <c r="O32" s="64"/>
      <c r="P32" s="3">
        <f t="shared" si="18"/>
        <v>0</v>
      </c>
      <c r="Q32" s="36">
        <f t="shared" si="19"/>
        <v>0</v>
      </c>
      <c r="S32" s="97"/>
      <c r="T32" s="107"/>
      <c r="U32" s="43" t="s">
        <v>267</v>
      </c>
      <c r="V32" s="64"/>
      <c r="W32" s="3">
        <f t="shared" ref="W32" si="20">V32</f>
        <v>0</v>
      </c>
      <c r="X32" s="36">
        <f>(IF(V30=1,1,0))+V32</f>
        <v>0</v>
      </c>
      <c r="Z32" s="160" t="s">
        <v>441</v>
      </c>
      <c r="AA32" s="27" t="s">
        <v>442</v>
      </c>
      <c r="AB32" s="73"/>
      <c r="AC32" s="70">
        <f t="shared" si="0"/>
        <v>0</v>
      </c>
    </row>
    <row r="33" spans="1:29" ht="16.5" thickTop="1" thickBot="1" x14ac:dyDescent="0.3">
      <c r="A33" s="157"/>
      <c r="B33" s="158"/>
      <c r="C33" s="158"/>
      <c r="D33" s="158"/>
      <c r="E33" s="159"/>
      <c r="F33" s="7"/>
      <c r="G33" s="31" t="s">
        <v>54</v>
      </c>
      <c r="H33" s="61"/>
      <c r="I33" s="3">
        <f>IF(H33=0,0,((IF(H33=1,2,0))-(IF(I22&gt;1,1,0))-(IF(I23&gt;1,1,0))-(IF(I24&gt;1,1,0))-(IF(I25&gt;1,1,0))-(IF(I26&gt;1,1,0))-(IF(I27&gt;1,1,0))-(IF(I28&gt;1,1,0))-(IF(I29&gt;1,1,0))-(IF(I30&gt;1,1,0))-(IF(I31&gt;1,1,0))-(IF(I32&gt;1,1,0))))</f>
        <v>0</v>
      </c>
      <c r="J33" s="4" t="str">
        <f>IF(H33&lt;1,"-","1 ponttal olcsóbb minden nyelv (minimum 1  HP)")</f>
        <v>-</v>
      </c>
      <c r="L33" s="97"/>
      <c r="M33" s="108"/>
      <c r="N33" s="42" t="s">
        <v>135</v>
      </c>
      <c r="O33" s="64"/>
      <c r="P33" s="3">
        <f t="shared" si="18"/>
        <v>0</v>
      </c>
      <c r="Q33" s="36">
        <f t="shared" si="19"/>
        <v>0</v>
      </c>
      <c r="S33" s="97"/>
      <c r="T33" s="107"/>
      <c r="U33" s="44" t="s">
        <v>268</v>
      </c>
      <c r="V33" s="64"/>
      <c r="W33" s="3">
        <f t="shared" ref="W33:W40" si="21">IF(V33=0,0,(V33*3))</f>
        <v>0</v>
      </c>
      <c r="X33" s="36">
        <f t="shared" ref="X33:X40" si="22">V33</f>
        <v>0</v>
      </c>
      <c r="Z33" s="160"/>
      <c r="AA33" s="28" t="s">
        <v>443</v>
      </c>
      <c r="AB33" s="51"/>
      <c r="AC33" s="71">
        <f t="shared" si="0"/>
        <v>0</v>
      </c>
    </row>
    <row r="34" spans="1:29" ht="15.75" thickBot="1" x14ac:dyDescent="0.3">
      <c r="A34" s="92" t="s">
        <v>316</v>
      </c>
      <c r="B34" s="93" t="s">
        <v>317</v>
      </c>
      <c r="C34" s="94" t="s">
        <v>384</v>
      </c>
      <c r="D34" s="93" t="s">
        <v>318</v>
      </c>
      <c r="E34" s="95" t="s">
        <v>384</v>
      </c>
      <c r="F34" s="7"/>
      <c r="G34" s="31" t="s">
        <v>89</v>
      </c>
      <c r="H34" s="61"/>
      <c r="I34" s="3">
        <f>H34</f>
        <v>0</v>
      </c>
      <c r="J34" s="4" t="str">
        <f>IF(H34&lt;1,"-","Annyiszor kell felvenni ahány nyelven írni és olvasni szeretnél")</f>
        <v>-</v>
      </c>
      <c r="L34" s="97"/>
      <c r="M34" s="108"/>
      <c r="N34" s="42" t="s">
        <v>136</v>
      </c>
      <c r="O34" s="64"/>
      <c r="P34" s="3">
        <f t="shared" si="18"/>
        <v>0</v>
      </c>
      <c r="Q34" s="36">
        <f t="shared" si="19"/>
        <v>0</v>
      </c>
      <c r="S34" s="97"/>
      <c r="T34" s="107"/>
      <c r="U34" s="42" t="s">
        <v>224</v>
      </c>
      <c r="V34" s="64"/>
      <c r="W34" s="3">
        <f t="shared" si="21"/>
        <v>0</v>
      </c>
      <c r="X34" s="36">
        <f t="shared" si="22"/>
        <v>0</v>
      </c>
      <c r="Z34" s="160"/>
      <c r="AA34" s="28" t="s">
        <v>444</v>
      </c>
      <c r="AB34" s="51"/>
      <c r="AC34" s="71">
        <f t="shared" si="0"/>
        <v>0</v>
      </c>
    </row>
    <row r="35" spans="1:29" ht="16.5" thickTop="1" thickBot="1" x14ac:dyDescent="0.3">
      <c r="A35" s="30" t="s">
        <v>319</v>
      </c>
      <c r="B35" s="27" t="s">
        <v>340</v>
      </c>
      <c r="C35" s="56"/>
      <c r="D35" s="27" t="s">
        <v>362</v>
      </c>
      <c r="E35" s="73"/>
      <c r="F35" s="7"/>
      <c r="G35" s="31" t="s">
        <v>55</v>
      </c>
      <c r="H35" s="61"/>
      <c r="I35" s="3">
        <f>H35</f>
        <v>0</v>
      </c>
      <c r="J35" s="4" t="str">
        <f>IF(H35=0,"-",(IF(H35=1,"500 Gulden",(IF(H35=2,"1000 Gulden",(IF(H35=3,"1500 Gulden",(IF(H35=4,"2000 Gulden",(IF(H35=5,"2500Gulden",(IF(H35=6,"3000 Gulden",(IF(H35=7,"3500 Gulden",(IF(H35=8,"4000 Gulden",(IF(H35=9,"4500 Gulden",(IF(H35=10,"5000 Gulden","-")))))))))))))))))))))</f>
        <v>-</v>
      </c>
      <c r="L35" s="97"/>
      <c r="M35" s="108"/>
      <c r="N35" s="42" t="s">
        <v>137</v>
      </c>
      <c r="O35" s="64"/>
      <c r="P35" s="3">
        <f t="shared" si="18"/>
        <v>0</v>
      </c>
      <c r="Q35" s="36">
        <f t="shared" si="19"/>
        <v>0</v>
      </c>
      <c r="S35" s="97"/>
      <c r="T35" s="107"/>
      <c r="U35" s="42" t="s">
        <v>269</v>
      </c>
      <c r="V35" s="64"/>
      <c r="W35" s="3">
        <f t="shared" si="21"/>
        <v>0</v>
      </c>
      <c r="X35" s="36">
        <f t="shared" si="22"/>
        <v>0</v>
      </c>
      <c r="Z35" s="160"/>
      <c r="AA35" s="28" t="s">
        <v>445</v>
      </c>
      <c r="AB35" s="51"/>
      <c r="AC35" s="71">
        <f t="shared" si="0"/>
        <v>0</v>
      </c>
    </row>
    <row r="36" spans="1:29" ht="15.75" thickBot="1" x14ac:dyDescent="0.3">
      <c r="A36" s="31" t="s">
        <v>320</v>
      </c>
      <c r="B36" s="28" t="s">
        <v>341</v>
      </c>
      <c r="C36" s="57"/>
      <c r="D36" s="28" t="s">
        <v>363</v>
      </c>
      <c r="E36" s="51"/>
      <c r="F36" s="7"/>
      <c r="G36" s="31" t="s">
        <v>56</v>
      </c>
      <c r="H36" s="61"/>
      <c r="I36" s="134">
        <f>(H36*1)+(H37*2)+(H38*3)</f>
        <v>0</v>
      </c>
      <c r="J36" s="129" t="str">
        <f>IF((H36+H37+H38)&lt;1,"-","Nem lehet több pont a 3 előnyön mint a kisugrázásod. Ismersz embereket akik hajlandóak neked segíteni.")</f>
        <v>-</v>
      </c>
      <c r="L36" s="97"/>
      <c r="M36" s="108"/>
      <c r="N36" s="42" t="s">
        <v>138</v>
      </c>
      <c r="O36" s="64"/>
      <c r="P36" s="3">
        <f t="shared" si="18"/>
        <v>0</v>
      </c>
      <c r="Q36" s="36">
        <f t="shared" si="19"/>
        <v>0</v>
      </c>
      <c r="S36" s="97"/>
      <c r="T36" s="108"/>
      <c r="U36" s="42" t="s">
        <v>270</v>
      </c>
      <c r="V36" s="64"/>
      <c r="W36" s="3">
        <f t="shared" si="21"/>
        <v>0</v>
      </c>
      <c r="X36" s="36">
        <f t="shared" si="22"/>
        <v>0</v>
      </c>
      <c r="Z36" s="160"/>
      <c r="AA36" s="28" t="s">
        <v>446</v>
      </c>
      <c r="AB36" s="51"/>
      <c r="AC36" s="71">
        <f t="shared" si="0"/>
        <v>0</v>
      </c>
    </row>
    <row r="37" spans="1:29" ht="15.75" thickBot="1" x14ac:dyDescent="0.3">
      <c r="A37" s="31" t="s">
        <v>321</v>
      </c>
      <c r="B37" s="28" t="s">
        <v>342</v>
      </c>
      <c r="C37" s="57"/>
      <c r="D37" s="28" t="s">
        <v>364</v>
      </c>
      <c r="E37" s="51"/>
      <c r="F37" s="7"/>
      <c r="G37" s="31" t="s">
        <v>57</v>
      </c>
      <c r="H37" s="61"/>
      <c r="I37" s="134"/>
      <c r="J37" s="129"/>
      <c r="L37" s="97"/>
      <c r="M37" s="109"/>
      <c r="N37" s="43" t="s">
        <v>139</v>
      </c>
      <c r="O37" s="64"/>
      <c r="P37" s="3">
        <f t="shared" si="18"/>
        <v>0</v>
      </c>
      <c r="Q37" s="36">
        <f t="shared" si="19"/>
        <v>0</v>
      </c>
      <c r="S37" s="97"/>
      <c r="T37" s="108"/>
      <c r="U37" s="42" t="s">
        <v>87</v>
      </c>
      <c r="V37" s="64"/>
      <c r="W37" s="3">
        <f t="shared" si="21"/>
        <v>0</v>
      </c>
      <c r="X37" s="36">
        <f t="shared" si="22"/>
        <v>0</v>
      </c>
      <c r="Z37" s="160"/>
      <c r="AA37" s="28" t="s">
        <v>447</v>
      </c>
      <c r="AB37" s="51"/>
      <c r="AC37" s="71">
        <f t="shared" si="0"/>
        <v>0</v>
      </c>
    </row>
    <row r="38" spans="1:29" ht="15.75" thickBot="1" x14ac:dyDescent="0.3">
      <c r="A38" s="31" t="s">
        <v>322</v>
      </c>
      <c r="B38" s="28" t="s">
        <v>343</v>
      </c>
      <c r="C38" s="57"/>
      <c r="D38" s="28" t="s">
        <v>365</v>
      </c>
      <c r="E38" s="51"/>
      <c r="F38" s="7"/>
      <c r="G38" s="31" t="s">
        <v>58</v>
      </c>
      <c r="H38" s="61"/>
      <c r="I38" s="134"/>
      <c r="J38" s="129"/>
      <c r="L38" s="97"/>
      <c r="M38" s="99" t="s">
        <v>141</v>
      </c>
      <c r="N38" s="100"/>
      <c r="O38" s="61"/>
      <c r="P38" s="3">
        <f>IF(O38=0,0,(IF(O38=1,2,0))-(IF($H$10=1,1,0)))</f>
        <v>0</v>
      </c>
      <c r="Q38" s="39"/>
      <c r="S38" s="97"/>
      <c r="T38" s="108"/>
      <c r="U38" s="42" t="s">
        <v>208</v>
      </c>
      <c r="V38" s="64"/>
      <c r="W38" s="3">
        <f t="shared" si="21"/>
        <v>0</v>
      </c>
      <c r="X38" s="36">
        <f t="shared" si="22"/>
        <v>0</v>
      </c>
      <c r="Z38" s="160"/>
      <c r="AA38" s="28" t="s">
        <v>448</v>
      </c>
      <c r="AB38" s="51"/>
      <c r="AC38" s="71">
        <f t="shared" si="0"/>
        <v>0</v>
      </c>
    </row>
    <row r="39" spans="1:29" ht="15.75" thickBot="1" x14ac:dyDescent="0.3">
      <c r="A39" s="31" t="s">
        <v>322</v>
      </c>
      <c r="B39" s="28" t="s">
        <v>344</v>
      </c>
      <c r="C39" s="57"/>
      <c r="D39" s="28" t="s">
        <v>366</v>
      </c>
      <c r="E39" s="51"/>
      <c r="F39" s="7"/>
      <c r="G39" s="31" t="s">
        <v>61</v>
      </c>
      <c r="H39" s="61"/>
      <c r="I39" s="3">
        <f>H39*2</f>
        <v>0</v>
      </c>
      <c r="J39" s="4" t="str">
        <f>IF(H39&lt;1,"-","Akit ismersz az a lekötelezetted. Személyenként kell felvenni.")</f>
        <v>-</v>
      </c>
      <c r="L39" s="97"/>
      <c r="M39" s="120" t="s">
        <v>141</v>
      </c>
      <c r="N39" s="41"/>
      <c r="O39" s="64"/>
      <c r="P39" s="3">
        <f>O39</f>
        <v>0</v>
      </c>
      <c r="Q39" s="36">
        <f>(IF(O38=1,2,0))+O39</f>
        <v>0</v>
      </c>
      <c r="S39" s="97"/>
      <c r="T39" s="108"/>
      <c r="U39" s="42" t="s">
        <v>271</v>
      </c>
      <c r="V39" s="64"/>
      <c r="W39" s="3">
        <f t="shared" si="21"/>
        <v>0</v>
      </c>
      <c r="X39" s="36">
        <f t="shared" si="22"/>
        <v>0</v>
      </c>
      <c r="Z39" s="160"/>
      <c r="AA39" s="28" t="s">
        <v>449</v>
      </c>
      <c r="AB39" s="51"/>
      <c r="AC39" s="71">
        <f t="shared" si="0"/>
        <v>0</v>
      </c>
    </row>
    <row r="40" spans="1:29" ht="15.75" thickBot="1" x14ac:dyDescent="0.3">
      <c r="A40" s="31" t="s">
        <v>323</v>
      </c>
      <c r="B40" s="28" t="s">
        <v>345</v>
      </c>
      <c r="C40" s="57"/>
      <c r="D40" s="28" t="s">
        <v>367</v>
      </c>
      <c r="E40" s="51"/>
      <c r="F40" s="7"/>
      <c r="G40" s="31" t="s">
        <v>62</v>
      </c>
      <c r="H40" s="61"/>
      <c r="I40" s="3">
        <f>H40</f>
        <v>0</v>
      </c>
      <c r="J40" s="4" t="str">
        <f>IF(H40&lt;1,"-","Jegyzetben megtalálod miként választ ki a pártfogó értékét")</f>
        <v>-</v>
      </c>
      <c r="L40" s="97"/>
      <c r="M40" s="108"/>
      <c r="N40" s="42"/>
      <c r="O40" s="64"/>
      <c r="P40" s="3">
        <f t="shared" ref="P40:P43" si="23">O40</f>
        <v>0</v>
      </c>
      <c r="Q40" s="36">
        <f>O40</f>
        <v>0</v>
      </c>
      <c r="S40" s="97"/>
      <c r="T40" s="109"/>
      <c r="U40" s="43" t="s">
        <v>272</v>
      </c>
      <c r="V40" s="64"/>
      <c r="W40" s="3">
        <f t="shared" si="21"/>
        <v>0</v>
      </c>
      <c r="X40" s="36">
        <f t="shared" si="22"/>
        <v>0</v>
      </c>
      <c r="Z40" s="160"/>
      <c r="AA40" s="42" t="s">
        <v>450</v>
      </c>
      <c r="AB40" s="51"/>
      <c r="AC40" s="71">
        <f t="shared" si="0"/>
        <v>0</v>
      </c>
    </row>
    <row r="41" spans="1:29" ht="15.75" thickBot="1" x14ac:dyDescent="0.3">
      <c r="A41" s="31" t="s">
        <v>324</v>
      </c>
      <c r="B41" s="28" t="s">
        <v>346</v>
      </c>
      <c r="C41" s="57"/>
      <c r="D41" s="28" t="s">
        <v>368</v>
      </c>
      <c r="E41" s="51"/>
      <c r="F41" s="7"/>
      <c r="G41" s="31" t="s">
        <v>63</v>
      </c>
      <c r="H41" s="61"/>
      <c r="I41" s="3">
        <f>IF(H41=1,5,0)</f>
        <v>0</v>
      </c>
      <c r="J41" s="4" t="str">
        <f>IF(H41&lt;1,"-","Ingyen kapsz egy 4 pont hátteret.")</f>
        <v>-</v>
      </c>
      <c r="L41" s="97"/>
      <c r="M41" s="108"/>
      <c r="N41" s="42"/>
      <c r="O41" s="64"/>
      <c r="P41" s="3">
        <f t="shared" si="23"/>
        <v>0</v>
      </c>
      <c r="Q41" s="36">
        <f t="shared" ref="Q41:Q47" si="24">O41</f>
        <v>0</v>
      </c>
      <c r="S41" s="97"/>
      <c r="T41" s="99" t="s">
        <v>273</v>
      </c>
      <c r="U41" s="100"/>
      <c r="V41" s="61"/>
      <c r="W41" s="3">
        <f>IF(V41=0,0,(IF(V41=1,2,0))-(IF($H$3=1,1,0)))</f>
        <v>0</v>
      </c>
      <c r="X41" s="37"/>
      <c r="Z41" s="160"/>
      <c r="AA41" s="42" t="s">
        <v>451</v>
      </c>
      <c r="AB41" s="51"/>
      <c r="AC41" s="71">
        <f t="shared" si="0"/>
        <v>0</v>
      </c>
    </row>
    <row r="42" spans="1:29" ht="15.75" thickBot="1" x14ac:dyDescent="0.3">
      <c r="A42" s="31" t="s">
        <v>325</v>
      </c>
      <c r="B42" s="28" t="s">
        <v>347</v>
      </c>
      <c r="C42" s="57"/>
      <c r="D42" s="28" t="s">
        <v>369</v>
      </c>
      <c r="E42" s="51"/>
      <c r="F42" s="7"/>
      <c r="G42" s="31" t="s">
        <v>64</v>
      </c>
      <c r="H42" s="61"/>
      <c r="I42" s="3">
        <f>IF(H42=1,(IF(C21=1,3,5)),0)</f>
        <v>0</v>
      </c>
      <c r="J42" s="4" t="str">
        <f>IF(H42&lt;1,"-","Sebzéstűréshez +1 fogott kockát kapsz")</f>
        <v>-</v>
      </c>
      <c r="L42" s="97"/>
      <c r="M42" s="108"/>
      <c r="N42" s="42"/>
      <c r="O42" s="64"/>
      <c r="P42" s="40">
        <f t="shared" si="23"/>
        <v>0</v>
      </c>
      <c r="Q42" s="36">
        <f t="shared" si="24"/>
        <v>0</v>
      </c>
      <c r="S42" s="97"/>
      <c r="T42" s="106" t="s">
        <v>273</v>
      </c>
      <c r="U42" s="41" t="s">
        <v>274</v>
      </c>
      <c r="V42" s="64"/>
      <c r="W42" s="3">
        <f>V42</f>
        <v>0</v>
      </c>
      <c r="X42" s="36">
        <f>(IF(V41=1,1,0))+V42+(IF((V76&gt;0),1,0))</f>
        <v>0</v>
      </c>
      <c r="Z42" s="160"/>
      <c r="AA42" s="42" t="s">
        <v>452</v>
      </c>
      <c r="AB42" s="51"/>
      <c r="AC42" s="71">
        <f t="shared" si="0"/>
        <v>0</v>
      </c>
    </row>
    <row r="43" spans="1:29" ht="15.75" thickBot="1" x14ac:dyDescent="0.3">
      <c r="A43" s="31" t="s">
        <v>326</v>
      </c>
      <c r="B43" s="28" t="s">
        <v>348</v>
      </c>
      <c r="C43" s="57"/>
      <c r="D43" s="28" t="s">
        <v>370</v>
      </c>
      <c r="E43" s="51"/>
      <c r="F43" s="7"/>
      <c r="G43" s="31" t="s">
        <v>65</v>
      </c>
      <c r="H43" s="61"/>
      <c r="I43" s="3">
        <f>H43*3</f>
        <v>0</v>
      </c>
      <c r="J43" s="4" t="str">
        <f>IF(H43&lt;1,"-","Minden pontért kapsz 1 Bérencet vagy 6 Söpredéket")</f>
        <v>-</v>
      </c>
      <c r="L43" s="97"/>
      <c r="M43" s="108"/>
      <c r="N43" s="43"/>
      <c r="O43" s="64"/>
      <c r="P43" s="3">
        <f t="shared" si="23"/>
        <v>0</v>
      </c>
      <c r="Q43" s="36">
        <f t="shared" si="24"/>
        <v>0</v>
      </c>
      <c r="S43" s="97"/>
      <c r="T43" s="107"/>
      <c r="U43" s="43" t="s">
        <v>275</v>
      </c>
      <c r="V43" s="64"/>
      <c r="W43" s="3">
        <f t="shared" ref="W43" si="25">V43</f>
        <v>0</v>
      </c>
      <c r="X43" s="36">
        <f>(IF(V41=1,1,0))+V43</f>
        <v>0</v>
      </c>
      <c r="Z43" s="160"/>
      <c r="AA43" s="67" t="s">
        <v>453</v>
      </c>
      <c r="AB43" s="74"/>
      <c r="AC43" s="72">
        <f t="shared" si="0"/>
        <v>0</v>
      </c>
    </row>
    <row r="44" spans="1:29" ht="16.5" thickTop="1" thickBot="1" x14ac:dyDescent="0.3">
      <c r="A44" s="31" t="s">
        <v>327</v>
      </c>
      <c r="B44" s="28" t="s">
        <v>349</v>
      </c>
      <c r="C44" s="57"/>
      <c r="D44" s="28" t="s">
        <v>371</v>
      </c>
      <c r="E44" s="51"/>
      <c r="F44" s="7"/>
      <c r="G44" s="31" t="s">
        <v>66</v>
      </c>
      <c r="H44" s="61"/>
      <c r="I44" s="3">
        <f>IF(H44=1,3,0)</f>
        <v>0</v>
      </c>
      <c r="J44" s="129" t="str">
        <f>IF((H44+H45+H46+H47)&lt;1,"-","Tagja vagy egy nagyhatalmú szervezetnek.")</f>
        <v>-</v>
      </c>
      <c r="L44" s="97"/>
      <c r="M44" s="108"/>
      <c r="N44" s="44" t="s">
        <v>170</v>
      </c>
      <c r="O44" s="64"/>
      <c r="P44" s="3">
        <f>IF(O44=0,0,(O44*3)-((IF($H$14=1,2,0)*O44)))</f>
        <v>0</v>
      </c>
      <c r="Q44" s="36">
        <f t="shared" si="24"/>
        <v>0</v>
      </c>
      <c r="S44" s="97"/>
      <c r="T44" s="107"/>
      <c r="U44" s="44" t="s">
        <v>276</v>
      </c>
      <c r="V44" s="64"/>
      <c r="W44" s="3">
        <f>IF(V44=0,0,(V44*3))</f>
        <v>0</v>
      </c>
      <c r="X44" s="36">
        <f>V44</f>
        <v>0</v>
      </c>
      <c r="Z44" s="160" t="s">
        <v>454</v>
      </c>
      <c r="AA44" s="27" t="s">
        <v>455</v>
      </c>
      <c r="AB44" s="73"/>
      <c r="AC44" s="70">
        <f t="shared" si="0"/>
        <v>0</v>
      </c>
    </row>
    <row r="45" spans="1:29" ht="15.75" thickBot="1" x14ac:dyDescent="0.3">
      <c r="A45" s="31" t="s">
        <v>328</v>
      </c>
      <c r="B45" s="28" t="s">
        <v>350</v>
      </c>
      <c r="C45" s="57"/>
      <c r="D45" s="28" t="s">
        <v>372</v>
      </c>
      <c r="E45" s="51"/>
      <c r="F45" s="7"/>
      <c r="G45" s="31" t="s">
        <v>67</v>
      </c>
      <c r="H45" s="61"/>
      <c r="I45" s="3">
        <f>IF(H45=1,4,0)</f>
        <v>0</v>
      </c>
      <c r="J45" s="129"/>
      <c r="L45" s="97"/>
      <c r="M45" s="108"/>
      <c r="N45" s="42" t="s">
        <v>171</v>
      </c>
      <c r="O45" s="64"/>
      <c r="P45" s="3">
        <f t="shared" ref="P45:P47" si="26">IF(O45=0,0,(O45*3)-((IF($H$14=1,2,0)*O45)))</f>
        <v>0</v>
      </c>
      <c r="Q45" s="36">
        <f t="shared" si="24"/>
        <v>0</v>
      </c>
      <c r="S45" s="97"/>
      <c r="T45" s="107"/>
      <c r="U45" s="42" t="s">
        <v>277</v>
      </c>
      <c r="V45" s="64"/>
      <c r="W45" s="3">
        <f>IF(V45=0,0,(V45*3))</f>
        <v>0</v>
      </c>
      <c r="X45" s="36">
        <f>V45</f>
        <v>0</v>
      </c>
      <c r="Z45" s="160"/>
      <c r="AA45" s="28" t="s">
        <v>456</v>
      </c>
      <c r="AB45" s="51"/>
      <c r="AC45" s="71">
        <f t="shared" si="0"/>
        <v>0</v>
      </c>
    </row>
    <row r="46" spans="1:29" ht="15.75" thickBot="1" x14ac:dyDescent="0.3">
      <c r="A46" s="31" t="s">
        <v>329</v>
      </c>
      <c r="B46" s="28" t="s">
        <v>351</v>
      </c>
      <c r="C46" s="57"/>
      <c r="D46" s="28" t="s">
        <v>373</v>
      </c>
      <c r="E46" s="51"/>
      <c r="F46" s="7"/>
      <c r="G46" s="31" t="s">
        <v>68</v>
      </c>
      <c r="H46" s="61"/>
      <c r="I46" s="3">
        <f>IF(H46=1,4,0)</f>
        <v>0</v>
      </c>
      <c r="J46" s="129"/>
      <c r="L46" s="97"/>
      <c r="M46" s="108"/>
      <c r="N46" s="42" t="s">
        <v>172</v>
      </c>
      <c r="O46" s="64"/>
      <c r="P46" s="3">
        <f t="shared" si="26"/>
        <v>0</v>
      </c>
      <c r="Q46" s="36">
        <f t="shared" si="24"/>
        <v>0</v>
      </c>
      <c r="S46" s="97"/>
      <c r="T46" s="115"/>
      <c r="U46" s="43" t="s">
        <v>278</v>
      </c>
      <c r="V46" s="64"/>
      <c r="W46" s="3">
        <f>IF(V46=0,0,(V46*3))</f>
        <v>0</v>
      </c>
      <c r="X46" s="36">
        <f>V46</f>
        <v>0</v>
      </c>
      <c r="Z46" s="160"/>
      <c r="AA46" s="42" t="s">
        <v>457</v>
      </c>
      <c r="AB46" s="51"/>
      <c r="AC46" s="71">
        <f t="shared" si="0"/>
        <v>0</v>
      </c>
    </row>
    <row r="47" spans="1:29" ht="15.75" thickBot="1" x14ac:dyDescent="0.3">
      <c r="A47" s="31" t="s">
        <v>330</v>
      </c>
      <c r="B47" s="28" t="s">
        <v>352</v>
      </c>
      <c r="C47" s="57"/>
      <c r="D47" s="28" t="s">
        <v>374</v>
      </c>
      <c r="E47" s="51"/>
      <c r="F47" s="7"/>
      <c r="G47" s="31" t="s">
        <v>69</v>
      </c>
      <c r="H47" s="61"/>
      <c r="I47" s="3">
        <f>IF(H47=1,4,0)</f>
        <v>0</v>
      </c>
      <c r="J47" s="129"/>
      <c r="L47" s="97"/>
      <c r="M47" s="109"/>
      <c r="N47" s="43" t="s">
        <v>173</v>
      </c>
      <c r="O47" s="64"/>
      <c r="P47" s="3">
        <f t="shared" si="26"/>
        <v>0</v>
      </c>
      <c r="Q47" s="36">
        <f t="shared" si="24"/>
        <v>0</v>
      </c>
      <c r="S47" s="97"/>
      <c r="T47" s="99" t="s">
        <v>279</v>
      </c>
      <c r="U47" s="100"/>
      <c r="V47" s="61"/>
      <c r="W47" s="3">
        <f>IF(V47=0,0,(IF(V47=1,2,0))-(IF($H$3=1,1,0)))</f>
        <v>0</v>
      </c>
      <c r="X47" s="37"/>
      <c r="Z47" s="160"/>
      <c r="AA47" s="42" t="s">
        <v>458</v>
      </c>
      <c r="AB47" s="51"/>
      <c r="AC47" s="71">
        <f t="shared" si="0"/>
        <v>0</v>
      </c>
    </row>
    <row r="48" spans="1:29" ht="15.75" thickBot="1" x14ac:dyDescent="0.3">
      <c r="A48" s="31" t="s">
        <v>331</v>
      </c>
      <c r="B48" s="28" t="s">
        <v>353</v>
      </c>
      <c r="C48" s="57"/>
      <c r="D48" s="28" t="s">
        <v>375</v>
      </c>
      <c r="E48" s="51"/>
      <c r="F48" s="7"/>
      <c r="G48" s="31" t="s">
        <v>70</v>
      </c>
      <c r="H48" s="61"/>
      <c r="I48" s="3">
        <f>H48*2-(IF(C20=1,2,0))</f>
        <v>0</v>
      </c>
      <c r="J48" s="4" t="str">
        <f>IF(H48=0,"-",(IF(H48=1,"Sereg: Káplár / Flotta: Matróz",(IF(H48=2,"Sereg: Őrmester / Flotta:Tiszthelyettes",(IF(H48=3,"Sereg: Hadnagy / Flotta: Altiszt",(IF(H48=4,"Sereg: Százados / Flotta: Hadnagy","-")))))))))</f>
        <v>-</v>
      </c>
      <c r="L48" s="97"/>
      <c r="M48" s="99" t="s">
        <v>174</v>
      </c>
      <c r="N48" s="100"/>
      <c r="O48" s="61"/>
      <c r="P48" s="3">
        <f>IF(O48=0,0,(IF(O48=1,2,0))-(IF($H$10=1,1,0)))</f>
        <v>0</v>
      </c>
      <c r="Q48" s="39"/>
      <c r="S48" s="97"/>
      <c r="T48" s="106" t="s">
        <v>279</v>
      </c>
      <c r="U48" s="41" t="s">
        <v>280</v>
      </c>
      <c r="V48" s="64"/>
      <c r="W48" s="3">
        <f>V48</f>
        <v>0</v>
      </c>
      <c r="X48" s="36">
        <f>(IF(V47=1,1,0))+V48</f>
        <v>0</v>
      </c>
      <c r="Z48" s="160"/>
      <c r="AA48" s="67" t="s">
        <v>459</v>
      </c>
      <c r="AB48" s="74"/>
      <c r="AC48" s="72">
        <f t="shared" si="0"/>
        <v>0</v>
      </c>
    </row>
    <row r="49" spans="1:29" ht="15.75" thickBot="1" x14ac:dyDescent="0.3">
      <c r="A49" s="31" t="s">
        <v>332</v>
      </c>
      <c r="B49" s="28" t="s">
        <v>354</v>
      </c>
      <c r="C49" s="57"/>
      <c r="D49" s="28" t="s">
        <v>376</v>
      </c>
      <c r="E49" s="51"/>
      <c r="F49" s="7"/>
      <c r="G49" s="31" t="s">
        <v>71</v>
      </c>
      <c r="H49" s="61"/>
      <c r="I49" s="3">
        <f>IF(H49=1,3,0)</f>
        <v>0</v>
      </c>
      <c r="J49" s="4" t="str">
        <f>IF(H49&lt;1,"-","Szociális ellendobásoknál +2 dobott kocka")</f>
        <v>-</v>
      </c>
      <c r="L49" s="97"/>
      <c r="M49" s="120" t="s">
        <v>174</v>
      </c>
      <c r="N49" s="41"/>
      <c r="O49" s="64"/>
      <c r="P49" s="3">
        <f>O49</f>
        <v>0</v>
      </c>
      <c r="Q49" s="36">
        <f>(IF(O48=1,2,0))+O49</f>
        <v>0</v>
      </c>
      <c r="S49" s="97"/>
      <c r="T49" s="107"/>
      <c r="U49" s="43" t="s">
        <v>281</v>
      </c>
      <c r="V49" s="64"/>
      <c r="W49" s="3">
        <f t="shared" ref="W49" si="27">V49</f>
        <v>0</v>
      </c>
      <c r="X49" s="36">
        <f>(IF(V47=1,1,0))+V49</f>
        <v>0</v>
      </c>
      <c r="Z49" s="160" t="s">
        <v>460</v>
      </c>
      <c r="AA49" s="27" t="s">
        <v>461</v>
      </c>
      <c r="AB49" s="73"/>
      <c r="AC49" s="70">
        <f t="shared" si="0"/>
        <v>0</v>
      </c>
    </row>
    <row r="50" spans="1:29" ht="16.5" thickTop="1" thickBot="1" x14ac:dyDescent="0.3">
      <c r="A50" s="31" t="s">
        <v>333</v>
      </c>
      <c r="B50" s="28" t="s">
        <v>355</v>
      </c>
      <c r="C50" s="57"/>
      <c r="D50" s="28" t="s">
        <v>377</v>
      </c>
      <c r="E50" s="51"/>
      <c r="F50" s="7"/>
      <c r="G50" s="32" t="s">
        <v>72</v>
      </c>
      <c r="H50" s="62"/>
      <c r="I50" s="5">
        <f>IF(H50=1,3,0)</f>
        <v>0</v>
      </c>
      <c r="J50" s="6" t="str">
        <f>IF(H50&lt;1,"-","Csábításnál +2 dobott kocka")</f>
        <v>-</v>
      </c>
      <c r="L50" s="97"/>
      <c r="M50" s="108"/>
      <c r="N50" s="42"/>
      <c r="O50" s="64"/>
      <c r="P50" s="3">
        <f t="shared" ref="P50:P51" si="28">O50</f>
        <v>0</v>
      </c>
      <c r="Q50" s="36">
        <f>O50</f>
        <v>0</v>
      </c>
      <c r="S50" s="97"/>
      <c r="T50" s="115"/>
      <c r="U50" s="46" t="s">
        <v>282</v>
      </c>
      <c r="V50" s="64"/>
      <c r="W50" s="3">
        <f>IF(V50=0,0,(V50*3))</f>
        <v>0</v>
      </c>
      <c r="X50" s="36">
        <f>V50</f>
        <v>0</v>
      </c>
      <c r="Z50" s="160"/>
      <c r="AA50" s="28" t="s">
        <v>462</v>
      </c>
      <c r="AB50" s="51"/>
      <c r="AC50" s="71">
        <f t="shared" si="0"/>
        <v>0</v>
      </c>
    </row>
    <row r="51" spans="1:29" ht="15.75" customHeight="1" thickTop="1" thickBot="1" x14ac:dyDescent="0.3">
      <c r="A51" s="31" t="s">
        <v>334</v>
      </c>
      <c r="B51" s="28" t="s">
        <v>356</v>
      </c>
      <c r="C51" s="57"/>
      <c r="D51" s="28" t="s">
        <v>378</v>
      </c>
      <c r="E51" s="51"/>
      <c r="F51" s="7"/>
      <c r="L51" s="97"/>
      <c r="M51" s="109"/>
      <c r="N51" s="43"/>
      <c r="O51" s="64"/>
      <c r="P51" s="3">
        <f t="shared" si="28"/>
        <v>0</v>
      </c>
      <c r="Q51" s="36">
        <f t="shared" ref="Q51" si="29">O51</f>
        <v>0</v>
      </c>
      <c r="S51" s="97"/>
      <c r="T51" s="104" t="s">
        <v>283</v>
      </c>
      <c r="U51" s="105"/>
      <c r="V51" s="61"/>
      <c r="W51" s="3">
        <f>IF(V51=0,0,(IF(V51=1,2,0))-(IF($H$3=1,1,0)))</f>
        <v>0</v>
      </c>
      <c r="X51" s="37"/>
      <c r="Z51" s="160"/>
      <c r="AA51" s="28" t="s">
        <v>463</v>
      </c>
      <c r="AB51" s="51"/>
      <c r="AC51" s="71">
        <f t="shared" si="0"/>
        <v>0</v>
      </c>
    </row>
    <row r="52" spans="1:29" ht="15.75" thickBot="1" x14ac:dyDescent="0.3">
      <c r="A52" s="31" t="s">
        <v>335</v>
      </c>
      <c r="B52" s="28" t="s">
        <v>357</v>
      </c>
      <c r="C52" s="57"/>
      <c r="D52" s="28" t="s">
        <v>379</v>
      </c>
      <c r="E52" s="51"/>
      <c r="F52" s="7"/>
      <c r="L52" s="97"/>
      <c r="M52" s="99" t="s">
        <v>182</v>
      </c>
      <c r="N52" s="100"/>
      <c r="O52" s="61"/>
      <c r="P52" s="3">
        <f>IF(O52=0,0,(IF(O52=1,2,0))-(IF($H$10=1,1,0)))</f>
        <v>0</v>
      </c>
      <c r="Q52" s="37"/>
      <c r="S52" s="97"/>
      <c r="T52" s="110" t="s">
        <v>283</v>
      </c>
      <c r="U52" s="45" t="s">
        <v>284</v>
      </c>
      <c r="V52" s="64"/>
      <c r="W52" s="3">
        <f>V52</f>
        <v>0</v>
      </c>
      <c r="X52" s="36">
        <f>(IF(V51=1,1,0))+V52</f>
        <v>0</v>
      </c>
      <c r="Z52" s="160"/>
      <c r="AA52" s="28" t="s">
        <v>464</v>
      </c>
      <c r="AB52" s="51"/>
      <c r="AC52" s="71">
        <f t="shared" si="0"/>
        <v>0</v>
      </c>
    </row>
    <row r="53" spans="1:29" ht="16.5" thickTop="1" thickBot="1" x14ac:dyDescent="0.3">
      <c r="A53" s="31" t="s">
        <v>336</v>
      </c>
      <c r="B53" s="28" t="s">
        <v>358</v>
      </c>
      <c r="C53" s="57"/>
      <c r="D53" s="28" t="s">
        <v>380</v>
      </c>
      <c r="E53" s="51"/>
      <c r="F53" s="7"/>
      <c r="L53" s="97"/>
      <c r="M53" s="120" t="s">
        <v>182</v>
      </c>
      <c r="N53" s="41" t="s">
        <v>183</v>
      </c>
      <c r="O53" s="64"/>
      <c r="P53" s="3">
        <f>O53</f>
        <v>0</v>
      </c>
      <c r="Q53" s="36">
        <f>(IF(O52=1,1,0))+O53</f>
        <v>0</v>
      </c>
      <c r="S53" s="97"/>
      <c r="T53" s="111"/>
      <c r="U53" s="46" t="s">
        <v>285</v>
      </c>
      <c r="V53" s="64"/>
      <c r="W53" s="3">
        <f>IF(V53=0,0,(V53*3))</f>
        <v>0</v>
      </c>
      <c r="X53" s="36">
        <f>V53</f>
        <v>0</v>
      </c>
      <c r="Z53" s="163"/>
      <c r="AA53" s="29" t="s">
        <v>465</v>
      </c>
      <c r="AB53" s="52"/>
      <c r="AC53" s="75">
        <f t="shared" si="0"/>
        <v>0</v>
      </c>
    </row>
    <row r="54" spans="1:29" ht="15.75" thickBot="1" x14ac:dyDescent="0.3">
      <c r="A54" s="31" t="s">
        <v>337</v>
      </c>
      <c r="B54" s="28" t="s">
        <v>359</v>
      </c>
      <c r="C54" s="57"/>
      <c r="D54" s="28" t="s">
        <v>381</v>
      </c>
      <c r="E54" s="51"/>
      <c r="F54" s="7"/>
      <c r="L54" s="97"/>
      <c r="M54" s="108"/>
      <c r="N54" s="43" t="s">
        <v>184</v>
      </c>
      <c r="O54" s="64"/>
      <c r="P54" s="3">
        <f>O54</f>
        <v>0</v>
      </c>
      <c r="Q54" s="36">
        <f>(IF(O52=1,1,0))+O54</f>
        <v>0</v>
      </c>
      <c r="S54" s="97"/>
      <c r="T54" s="104" t="s">
        <v>286</v>
      </c>
      <c r="U54" s="105"/>
      <c r="V54" s="61"/>
      <c r="W54" s="3">
        <f>IF(V54=0,0,(IF(V54=1,2,0))-(IF($H$3=1,1,0)))</f>
        <v>0</v>
      </c>
      <c r="X54" s="37"/>
    </row>
    <row r="55" spans="1:29" ht="16.5" thickTop="1" thickBot="1" x14ac:dyDescent="0.3">
      <c r="A55" s="31" t="s">
        <v>338</v>
      </c>
      <c r="B55" s="28" t="s">
        <v>360</v>
      </c>
      <c r="C55" s="57"/>
      <c r="D55" s="28" t="s">
        <v>382</v>
      </c>
      <c r="E55" s="51"/>
      <c r="L55" s="97"/>
      <c r="M55" s="108"/>
      <c r="N55" s="44" t="s">
        <v>185</v>
      </c>
      <c r="O55" s="64"/>
      <c r="P55" s="3">
        <f>IF(O55=0,0,(O55*3)-((IF($H$14=1,2,0)*O55)))</f>
        <v>0</v>
      </c>
      <c r="Q55" s="36">
        <f>O55</f>
        <v>0</v>
      </c>
      <c r="S55" s="97"/>
      <c r="T55" s="106" t="s">
        <v>287</v>
      </c>
      <c r="U55" s="45" t="s">
        <v>286</v>
      </c>
      <c r="V55" s="64"/>
      <c r="W55" s="3">
        <f>V55</f>
        <v>0</v>
      </c>
      <c r="X55" s="36">
        <f>(IF(V54=1,1,0))+V55</f>
        <v>0</v>
      </c>
    </row>
    <row r="56" spans="1:29" ht="16.5" thickTop="1" thickBot="1" x14ac:dyDescent="0.3">
      <c r="A56" s="32" t="s">
        <v>339</v>
      </c>
      <c r="B56" s="29" t="s">
        <v>361</v>
      </c>
      <c r="C56" s="58"/>
      <c r="D56" s="29" t="s">
        <v>383</v>
      </c>
      <c r="E56" s="52"/>
      <c r="L56" s="97"/>
      <c r="M56" s="108"/>
      <c r="N56" s="42" t="s">
        <v>186</v>
      </c>
      <c r="O56" s="64"/>
      <c r="P56" s="3">
        <f t="shared" ref="P56:P59" si="30">IF(O56=0,0,(O56*3)-((IF($H$14=1,2,0)*O56)))</f>
        <v>0</v>
      </c>
      <c r="Q56" s="36">
        <f t="shared" ref="Q56:Q59" si="31">O56</f>
        <v>0</v>
      </c>
      <c r="S56" s="97"/>
      <c r="T56" s="107"/>
      <c r="U56" s="44" t="s">
        <v>129</v>
      </c>
      <c r="V56" s="64"/>
      <c r="W56" s="3">
        <f>IF(V56=0,0,(V56*3))</f>
        <v>0</v>
      </c>
      <c r="X56" s="36">
        <f>V56</f>
        <v>0</v>
      </c>
    </row>
    <row r="57" spans="1:29" ht="15.75" thickTop="1" x14ac:dyDescent="0.25">
      <c r="L57" s="97"/>
      <c r="M57" s="108"/>
      <c r="N57" s="42" t="s">
        <v>187</v>
      </c>
      <c r="O57" s="64"/>
      <c r="P57" s="3">
        <f t="shared" si="30"/>
        <v>0</v>
      </c>
      <c r="Q57" s="36">
        <f t="shared" si="31"/>
        <v>0</v>
      </c>
      <c r="S57" s="97"/>
      <c r="T57" s="107"/>
      <c r="U57" s="42" t="s">
        <v>288</v>
      </c>
      <c r="V57" s="64"/>
      <c r="W57" s="3">
        <f>IF(V57=0,0,(V57*3))</f>
        <v>0</v>
      </c>
      <c r="X57" s="36">
        <f>V57</f>
        <v>0</v>
      </c>
    </row>
    <row r="58" spans="1:29" ht="15.75" customHeight="1" thickBot="1" x14ac:dyDescent="0.3">
      <c r="L58" s="97"/>
      <c r="M58" s="108"/>
      <c r="N58" s="42" t="s">
        <v>188</v>
      </c>
      <c r="O58" s="64"/>
      <c r="P58" s="3">
        <f t="shared" si="30"/>
        <v>0</v>
      </c>
      <c r="Q58" s="36">
        <f t="shared" si="31"/>
        <v>0</v>
      </c>
      <c r="S58" s="97"/>
      <c r="T58" s="109"/>
      <c r="U58" s="43" t="s">
        <v>289</v>
      </c>
      <c r="V58" s="64"/>
      <c r="W58" s="3">
        <f>IF(V58=0,0,(V58*3))</f>
        <v>0</v>
      </c>
      <c r="X58" s="36">
        <f>V58</f>
        <v>0</v>
      </c>
    </row>
    <row r="59" spans="1:29" ht="15" customHeight="1" thickTop="1" thickBot="1" x14ac:dyDescent="0.3">
      <c r="A59" s="48" t="s">
        <v>385</v>
      </c>
      <c r="B59" s="49" t="s">
        <v>24</v>
      </c>
      <c r="C59" s="168" t="s">
        <v>402</v>
      </c>
      <c r="D59" s="169"/>
      <c r="L59" s="97"/>
      <c r="M59" s="108"/>
      <c r="N59" s="42" t="s">
        <v>189</v>
      </c>
      <c r="O59" s="64"/>
      <c r="P59" s="3">
        <f t="shared" si="30"/>
        <v>0</v>
      </c>
      <c r="Q59" s="36">
        <f t="shared" si="31"/>
        <v>0</v>
      </c>
      <c r="S59" s="97"/>
      <c r="T59" s="99" t="s">
        <v>290</v>
      </c>
      <c r="U59" s="100"/>
      <c r="V59" s="61"/>
      <c r="W59" s="3">
        <f>IF(V59=0,0,(IF(V59=1,2,0))-(IF($H$3=1,1,0)))</f>
        <v>0</v>
      </c>
      <c r="X59" s="37"/>
    </row>
    <row r="60" spans="1:29" ht="15.75" customHeight="1" thickBot="1" x14ac:dyDescent="0.3">
      <c r="A60" s="30" t="s">
        <v>386</v>
      </c>
      <c r="B60" s="53"/>
      <c r="C60" s="165" t="s">
        <v>403</v>
      </c>
      <c r="D60" s="166"/>
      <c r="L60" s="97"/>
      <c r="M60" s="109"/>
      <c r="N60" s="43"/>
      <c r="O60" s="64"/>
      <c r="P60" s="3"/>
      <c r="Q60" s="4"/>
      <c r="S60" s="97"/>
      <c r="T60" s="110" t="s">
        <v>290</v>
      </c>
      <c r="U60" s="41" t="s">
        <v>291</v>
      </c>
      <c r="V60" s="64"/>
      <c r="W60" s="3">
        <f>V60</f>
        <v>0</v>
      </c>
      <c r="X60" s="36">
        <f>(IF(V59=1,1,0))+V60</f>
        <v>0</v>
      </c>
    </row>
    <row r="61" spans="1:29" ht="15.75" thickBot="1" x14ac:dyDescent="0.3">
      <c r="A61" s="31" t="s">
        <v>387</v>
      </c>
      <c r="B61" s="54"/>
      <c r="C61" s="113"/>
      <c r="D61" s="137"/>
      <c r="L61" s="97"/>
      <c r="M61" s="99" t="s">
        <v>190</v>
      </c>
      <c r="N61" s="100"/>
      <c r="O61" s="61"/>
      <c r="P61" s="3">
        <f>IF(O61=0,0,(IF(O61=1,2,0))-(IF($H$10=1,1,0)))</f>
        <v>0</v>
      </c>
      <c r="Q61" s="37"/>
      <c r="S61" s="97"/>
      <c r="T61" s="111"/>
      <c r="U61" s="43" t="s">
        <v>292</v>
      </c>
      <c r="V61" s="64"/>
      <c r="W61" s="3">
        <f t="shared" ref="W61" si="32">V61</f>
        <v>0</v>
      </c>
      <c r="X61" s="36">
        <f>(IF(V59=1,1,0))+V61</f>
        <v>0</v>
      </c>
    </row>
    <row r="62" spans="1:29" ht="15.75" thickBot="1" x14ac:dyDescent="0.3">
      <c r="A62" s="31" t="s">
        <v>388</v>
      </c>
      <c r="B62" s="54"/>
      <c r="C62" s="113"/>
      <c r="D62" s="137"/>
      <c r="L62" s="97"/>
      <c r="M62" s="120" t="s">
        <v>190</v>
      </c>
      <c r="N62" s="41" t="s">
        <v>191</v>
      </c>
      <c r="O62" s="64"/>
      <c r="P62" s="3">
        <f>O62</f>
        <v>0</v>
      </c>
      <c r="Q62" s="36">
        <f>(IF(O61=1,1,0))+O62</f>
        <v>0</v>
      </c>
      <c r="S62" s="97"/>
      <c r="T62" s="99" t="s">
        <v>293</v>
      </c>
      <c r="U62" s="100"/>
      <c r="V62" s="61"/>
      <c r="W62" s="3">
        <f>IF(V62=0,0,(IF(V62=1,2,0))-(IF($H$3=1,1,0)))</f>
        <v>0</v>
      </c>
      <c r="X62" s="37"/>
    </row>
    <row r="63" spans="1:29" x14ac:dyDescent="0.25">
      <c r="A63" s="31" t="s">
        <v>389</v>
      </c>
      <c r="B63" s="54"/>
      <c r="C63" s="113"/>
      <c r="D63" s="137"/>
      <c r="L63" s="97"/>
      <c r="M63" s="108"/>
      <c r="N63" s="42" t="s">
        <v>192</v>
      </c>
      <c r="O63" s="64"/>
      <c r="P63" s="3">
        <f>O63</f>
        <v>0</v>
      </c>
      <c r="Q63" s="36">
        <f>(IF(O61=1,1,0))+O63+(IF((O94&gt;0),1,0))</f>
        <v>0</v>
      </c>
      <c r="S63" s="97"/>
      <c r="T63" s="106" t="s">
        <v>293</v>
      </c>
      <c r="U63" s="41" t="s">
        <v>251</v>
      </c>
      <c r="V63" s="64"/>
      <c r="W63" s="3">
        <f>V63</f>
        <v>0</v>
      </c>
      <c r="X63" s="36">
        <f>(IF(V62=1,1,0))+V63+(IF((V11&gt;0),1,0))</f>
        <v>0</v>
      </c>
    </row>
    <row r="64" spans="1:29" x14ac:dyDescent="0.25">
      <c r="A64" s="31" t="s">
        <v>390</v>
      </c>
      <c r="B64" s="54"/>
      <c r="C64" s="113"/>
      <c r="D64" s="137"/>
      <c r="L64" s="97"/>
      <c r="M64" s="108"/>
      <c r="N64" s="42" t="s">
        <v>193</v>
      </c>
      <c r="O64" s="64"/>
      <c r="P64" s="3">
        <f>O64</f>
        <v>0</v>
      </c>
      <c r="Q64" s="36">
        <f>(IF(O61=1,1,0))+O64</f>
        <v>0</v>
      </c>
      <c r="S64" s="97"/>
      <c r="T64" s="107"/>
      <c r="U64" s="42" t="s">
        <v>294</v>
      </c>
      <c r="V64" s="64"/>
      <c r="W64" s="3">
        <f t="shared" ref="W64:W65" si="33">V64</f>
        <v>0</v>
      </c>
      <c r="X64" s="36">
        <f>(IF(V62=1,1,0))+V64</f>
        <v>0</v>
      </c>
    </row>
    <row r="65" spans="1:24" ht="15.75" thickBot="1" x14ac:dyDescent="0.3">
      <c r="A65" s="31" t="s">
        <v>391</v>
      </c>
      <c r="B65" s="54"/>
      <c r="C65" s="113"/>
      <c r="D65" s="137"/>
      <c r="L65" s="97"/>
      <c r="M65" s="108"/>
      <c r="N65" s="43" t="s">
        <v>194</v>
      </c>
      <c r="O65" s="64"/>
      <c r="P65" s="3">
        <f>O65</f>
        <v>0</v>
      </c>
      <c r="Q65" s="36">
        <f>(IF(O61=1,1,0))+O65+(IF((O61&gt;0),1,0))</f>
        <v>0</v>
      </c>
      <c r="S65" s="97"/>
      <c r="T65" s="107"/>
      <c r="U65" s="43" t="s">
        <v>295</v>
      </c>
      <c r="V65" s="64"/>
      <c r="W65" s="3">
        <f t="shared" si="33"/>
        <v>0</v>
      </c>
      <c r="X65" s="36">
        <f>(IF(V62=1,1,0))+V65</f>
        <v>0</v>
      </c>
    </row>
    <row r="66" spans="1:24" ht="15.75" thickTop="1" x14ac:dyDescent="0.25">
      <c r="A66" s="31" t="s">
        <v>392</v>
      </c>
      <c r="B66" s="54"/>
      <c r="C66" s="113"/>
      <c r="D66" s="137"/>
      <c r="L66" s="97"/>
      <c r="M66" s="108"/>
      <c r="N66" s="44" t="s">
        <v>170</v>
      </c>
      <c r="O66" s="64"/>
      <c r="P66" s="3">
        <f>IF(O66=0,0,(O66*3)-((IF($H$14=1,2,0)*O66)))</f>
        <v>0</v>
      </c>
      <c r="Q66" s="36">
        <f>O66</f>
        <v>0</v>
      </c>
      <c r="S66" s="97"/>
      <c r="T66" s="108"/>
      <c r="U66" s="44" t="s">
        <v>296</v>
      </c>
      <c r="V66" s="64"/>
      <c r="W66" s="3">
        <f>IF(V66=0,0,(V66*3))</f>
        <v>0</v>
      </c>
      <c r="X66" s="36">
        <f>V66</f>
        <v>0</v>
      </c>
    </row>
    <row r="67" spans="1:24" ht="15.75" thickBot="1" x14ac:dyDescent="0.3">
      <c r="A67" s="31" t="s">
        <v>393</v>
      </c>
      <c r="B67" s="54"/>
      <c r="C67" s="113"/>
      <c r="D67" s="137"/>
      <c r="L67" s="97"/>
      <c r="M67" s="108"/>
      <c r="N67" s="42" t="s">
        <v>195</v>
      </c>
      <c r="O67" s="64"/>
      <c r="P67" s="3">
        <f t="shared" ref="P67:P71" si="34">IF(O67=0,0,(O67*3)-((IF($H$14=1,2,0)*O67)))</f>
        <v>0</v>
      </c>
      <c r="Q67" s="36">
        <f t="shared" ref="Q67:Q71" si="35">O67</f>
        <v>0</v>
      </c>
      <c r="S67" s="97"/>
      <c r="T67" s="109"/>
      <c r="U67" s="43" t="s">
        <v>297</v>
      </c>
      <c r="V67" s="64"/>
      <c r="W67" s="3">
        <f>IF(V67=0,0,(V67*3))</f>
        <v>0</v>
      </c>
      <c r="X67" s="36">
        <f>V67</f>
        <v>0</v>
      </c>
    </row>
    <row r="68" spans="1:24" ht="15.75" thickBot="1" x14ac:dyDescent="0.3">
      <c r="A68" s="31" t="s">
        <v>394</v>
      </c>
      <c r="B68" s="54"/>
      <c r="C68" s="113"/>
      <c r="D68" s="137"/>
      <c r="L68" s="97"/>
      <c r="M68" s="108"/>
      <c r="N68" s="42" t="s">
        <v>196</v>
      </c>
      <c r="O68" s="64"/>
      <c r="P68" s="3">
        <f t="shared" si="34"/>
        <v>0</v>
      </c>
      <c r="Q68" s="36">
        <f t="shared" si="35"/>
        <v>0</v>
      </c>
      <c r="S68" s="97"/>
      <c r="T68" s="99" t="s">
        <v>298</v>
      </c>
      <c r="U68" s="100"/>
      <c r="V68" s="61"/>
      <c r="W68" s="3">
        <f>IF(V68=0,0,(IF(V68=1,2,0))-(IF($H$3=1,1,0)))</f>
        <v>0</v>
      </c>
      <c r="X68" s="37"/>
    </row>
    <row r="69" spans="1:24" x14ac:dyDescent="0.25">
      <c r="A69" s="31" t="s">
        <v>395</v>
      </c>
      <c r="B69" s="54"/>
      <c r="C69" s="113"/>
      <c r="D69" s="137"/>
      <c r="L69" s="97"/>
      <c r="M69" s="108"/>
      <c r="N69" s="42" t="s">
        <v>173</v>
      </c>
      <c r="O69" s="64"/>
      <c r="P69" s="3">
        <f t="shared" si="34"/>
        <v>0</v>
      </c>
      <c r="Q69" s="36">
        <f t="shared" si="35"/>
        <v>0</v>
      </c>
      <c r="S69" s="97"/>
      <c r="T69" s="101" t="s">
        <v>299</v>
      </c>
      <c r="U69" s="41" t="s">
        <v>300</v>
      </c>
      <c r="V69" s="64"/>
      <c r="W69" s="3">
        <f>V69</f>
        <v>0</v>
      </c>
      <c r="X69" s="36">
        <f>(IF(V68=1,1,0))+V69</f>
        <v>0</v>
      </c>
    </row>
    <row r="70" spans="1:24" ht="15.75" thickBot="1" x14ac:dyDescent="0.3">
      <c r="A70" s="31" t="s">
        <v>396</v>
      </c>
      <c r="B70" s="54"/>
      <c r="C70" s="113"/>
      <c r="D70" s="137"/>
      <c r="L70" s="97"/>
      <c r="M70" s="108"/>
      <c r="N70" s="42" t="s">
        <v>197</v>
      </c>
      <c r="O70" s="64"/>
      <c r="P70" s="3">
        <f t="shared" si="34"/>
        <v>0</v>
      </c>
      <c r="Q70" s="36">
        <f t="shared" si="35"/>
        <v>0</v>
      </c>
      <c r="S70" s="97"/>
      <c r="T70" s="102"/>
      <c r="U70" s="43" t="s">
        <v>301</v>
      </c>
      <c r="V70" s="64"/>
      <c r="W70" s="3">
        <f t="shared" ref="W70" si="36">V70</f>
        <v>0</v>
      </c>
      <c r="X70" s="36">
        <f>(IF(V68=1,1,0))+V70</f>
        <v>0</v>
      </c>
    </row>
    <row r="71" spans="1:24" ht="15.75" customHeight="1" thickTop="1" thickBot="1" x14ac:dyDescent="0.3">
      <c r="A71" s="31" t="s">
        <v>397</v>
      </c>
      <c r="B71" s="54"/>
      <c r="C71" s="113"/>
      <c r="D71" s="137"/>
      <c r="L71" s="97"/>
      <c r="M71" s="109"/>
      <c r="N71" s="43" t="s">
        <v>198</v>
      </c>
      <c r="O71" s="64"/>
      <c r="P71" s="3">
        <f t="shared" si="34"/>
        <v>0</v>
      </c>
      <c r="Q71" s="36">
        <f t="shared" si="35"/>
        <v>0</v>
      </c>
      <c r="S71" s="97"/>
      <c r="T71" s="103"/>
      <c r="U71" s="46" t="s">
        <v>297</v>
      </c>
      <c r="V71" s="64"/>
      <c r="W71" s="3">
        <f>IF(V71=0,0,(V71*3))</f>
        <v>0</v>
      </c>
      <c r="X71" s="36">
        <f>V71</f>
        <v>0</v>
      </c>
    </row>
    <row r="72" spans="1:24" ht="15.75" thickBot="1" x14ac:dyDescent="0.3">
      <c r="A72" s="31" t="s">
        <v>398</v>
      </c>
      <c r="B72" s="54"/>
      <c r="C72" s="113"/>
      <c r="D72" s="137"/>
      <c r="L72" s="97"/>
      <c r="M72" s="99" t="s">
        <v>199</v>
      </c>
      <c r="N72" s="100"/>
      <c r="O72" s="61"/>
      <c r="P72" s="3">
        <f>IF(O72=0,0,(IF(O72=1,2,0))-(IF($H$10=1,1,0)))</f>
        <v>0</v>
      </c>
      <c r="Q72" s="37"/>
      <c r="S72" s="97"/>
      <c r="T72" s="99" t="s">
        <v>302</v>
      </c>
      <c r="U72" s="100"/>
      <c r="V72" s="61"/>
      <c r="W72" s="3">
        <f>IF(V72=0,0,(IF(V72=1,2,0))-(IF($H$3=1,1,0)))</f>
        <v>0</v>
      </c>
      <c r="X72" s="37"/>
    </row>
    <row r="73" spans="1:24" x14ac:dyDescent="0.25">
      <c r="A73" s="31" t="s">
        <v>399</v>
      </c>
      <c r="B73" s="54"/>
      <c r="C73" s="113"/>
      <c r="D73" s="137"/>
      <c r="L73" s="97"/>
      <c r="M73" s="120" t="s">
        <v>199</v>
      </c>
      <c r="N73" s="41" t="s">
        <v>200</v>
      </c>
      <c r="O73" s="64"/>
      <c r="P73" s="3">
        <f>O73</f>
        <v>0</v>
      </c>
      <c r="Q73" s="36">
        <f>(IF(O72=1,1,0))+O73</f>
        <v>0</v>
      </c>
      <c r="S73" s="97"/>
      <c r="T73" s="101" t="s">
        <v>302</v>
      </c>
      <c r="U73" s="41" t="s">
        <v>303</v>
      </c>
      <c r="V73" s="64"/>
      <c r="W73" s="3">
        <f>V73</f>
        <v>0</v>
      </c>
      <c r="X73" s="36">
        <f>(IF(V72=1,1,0))+V73</f>
        <v>0</v>
      </c>
    </row>
    <row r="74" spans="1:24" ht="15.75" thickBot="1" x14ac:dyDescent="0.3">
      <c r="A74" s="31" t="s">
        <v>400</v>
      </c>
      <c r="B74" s="54"/>
      <c r="C74" s="113"/>
      <c r="D74" s="137"/>
      <c r="L74" s="97"/>
      <c r="M74" s="108"/>
      <c r="N74" s="42" t="s">
        <v>201</v>
      </c>
      <c r="O74" s="64"/>
      <c r="P74" s="3">
        <f>O74</f>
        <v>0</v>
      </c>
      <c r="Q74" s="36">
        <f>(IF(O72=1,1,0))+O74</f>
        <v>0</v>
      </c>
      <c r="S74" s="97"/>
      <c r="T74" s="102"/>
      <c r="U74" s="43" t="s">
        <v>304</v>
      </c>
      <c r="V74" s="64"/>
      <c r="W74" s="3">
        <f t="shared" ref="W74" si="37">V74</f>
        <v>0</v>
      </c>
      <c r="X74" s="36">
        <f>(IF(V72=1,1,0))+V74</f>
        <v>0</v>
      </c>
    </row>
    <row r="75" spans="1:24" ht="16.5" thickTop="1" thickBot="1" x14ac:dyDescent="0.3">
      <c r="A75" s="32" t="s">
        <v>401</v>
      </c>
      <c r="B75" s="55"/>
      <c r="C75" s="167"/>
      <c r="D75" s="119"/>
      <c r="L75" s="97"/>
      <c r="M75" s="108"/>
      <c r="N75" s="42" t="s">
        <v>202</v>
      </c>
      <c r="O75" s="64"/>
      <c r="P75" s="3">
        <f>O75</f>
        <v>0</v>
      </c>
      <c r="Q75" s="36">
        <f>(IF(O72=1,1,0))+O75+(IF((V11&gt;0),1,0))</f>
        <v>0</v>
      </c>
      <c r="S75" s="97"/>
      <c r="T75" s="103"/>
      <c r="U75" s="46" t="s">
        <v>305</v>
      </c>
      <c r="V75" s="64"/>
      <c r="W75" s="3">
        <f>IF(V75=0,0,(V75*3))</f>
        <v>0</v>
      </c>
      <c r="X75" s="36">
        <f>V75</f>
        <v>0</v>
      </c>
    </row>
    <row r="76" spans="1:24" ht="16.5" thickTop="1" thickBot="1" x14ac:dyDescent="0.3">
      <c r="L76" s="97"/>
      <c r="M76" s="108"/>
      <c r="N76" s="43" t="s">
        <v>203</v>
      </c>
      <c r="O76" s="64"/>
      <c r="P76" s="3">
        <f>O76</f>
        <v>0</v>
      </c>
      <c r="Q76" s="36">
        <f>(IF(O72=1,1,0))+O76</f>
        <v>0</v>
      </c>
      <c r="S76" s="97"/>
      <c r="T76" s="99" t="s">
        <v>306</v>
      </c>
      <c r="U76" s="100"/>
      <c r="V76" s="61"/>
      <c r="W76" s="3">
        <f>IF(V76=0,0,(IF(V76=1,2,0))-(IF($H$3=1,1,0)))</f>
        <v>0</v>
      </c>
      <c r="X76" s="37"/>
    </row>
    <row r="77" spans="1:24" ht="15.75" thickTop="1" x14ac:dyDescent="0.25">
      <c r="L77" s="97"/>
      <c r="M77" s="108"/>
      <c r="N77" s="44" t="s">
        <v>204</v>
      </c>
      <c r="O77" s="64"/>
      <c r="P77" s="3">
        <f>IF(O77=0,0,(O77*3)-((IF($H$14=1,2,0)*O77)))</f>
        <v>0</v>
      </c>
      <c r="Q77" s="36">
        <f>O77</f>
        <v>0</v>
      </c>
      <c r="S77" s="97"/>
      <c r="T77" s="101" t="s">
        <v>306</v>
      </c>
      <c r="U77" s="41" t="s">
        <v>274</v>
      </c>
      <c r="V77" s="64"/>
      <c r="W77" s="3">
        <f>V77</f>
        <v>0</v>
      </c>
      <c r="X77" s="36">
        <f>(IF(V76=1,1,0))+V77+(IF((V41&gt;0),1,0))</f>
        <v>0</v>
      </c>
    </row>
    <row r="78" spans="1:24" ht="15.75" thickBot="1" x14ac:dyDescent="0.3">
      <c r="L78" s="97"/>
      <c r="M78" s="108"/>
      <c r="N78" s="42" t="s">
        <v>205</v>
      </c>
      <c r="O78" s="64"/>
      <c r="P78" s="3">
        <f t="shared" ref="P78:P83" si="38">IF(O78=0,0,(O78*3)-((IF($H$14=1,2,0)*O78)))</f>
        <v>0</v>
      </c>
      <c r="Q78" s="36">
        <f t="shared" ref="Q78:Q83" si="39">O78</f>
        <v>0</v>
      </c>
      <c r="S78" s="97"/>
      <c r="T78" s="102"/>
      <c r="U78" s="43" t="s">
        <v>307</v>
      </c>
      <c r="V78" s="64"/>
      <c r="W78" s="3">
        <f t="shared" ref="W78" si="40">V78</f>
        <v>0</v>
      </c>
      <c r="X78" s="36">
        <f>(IF(V76=1,1,0))+V78</f>
        <v>0</v>
      </c>
    </row>
    <row r="79" spans="1:24" ht="16.5" thickTop="1" thickBot="1" x14ac:dyDescent="0.3">
      <c r="L79" s="97"/>
      <c r="M79" s="108"/>
      <c r="N79" s="42" t="s">
        <v>206</v>
      </c>
      <c r="O79" s="64"/>
      <c r="P79" s="3">
        <f t="shared" si="38"/>
        <v>0</v>
      </c>
      <c r="Q79" s="36">
        <f t="shared" si="39"/>
        <v>0</v>
      </c>
      <c r="S79" s="97"/>
      <c r="T79" s="103"/>
      <c r="U79" s="46" t="s">
        <v>308</v>
      </c>
      <c r="V79" s="64"/>
      <c r="W79" s="3">
        <f>IF(V79=0,0,(V79*3))</f>
        <v>0</v>
      </c>
      <c r="X79" s="36">
        <f>V79</f>
        <v>0</v>
      </c>
    </row>
    <row r="80" spans="1:24" ht="15.75" thickBot="1" x14ac:dyDescent="0.3">
      <c r="L80" s="97"/>
      <c r="M80" s="108"/>
      <c r="N80" s="42" t="s">
        <v>207</v>
      </c>
      <c r="O80" s="64"/>
      <c r="P80" s="3">
        <f t="shared" si="38"/>
        <v>0</v>
      </c>
      <c r="Q80" s="36">
        <f t="shared" si="39"/>
        <v>0</v>
      </c>
      <c r="S80" s="97"/>
      <c r="T80" s="104" t="s">
        <v>309</v>
      </c>
      <c r="U80" s="105"/>
      <c r="V80" s="61"/>
      <c r="W80" s="3">
        <f>IF(V80=0,0,(IF(V80=1,2,0))-(IF($H$3=1,1,0)))</f>
        <v>0</v>
      </c>
      <c r="X80" s="37"/>
    </row>
    <row r="81" spans="12:24" ht="15.75" thickBot="1" x14ac:dyDescent="0.3">
      <c r="L81" s="97"/>
      <c r="M81" s="108"/>
      <c r="N81" s="42" t="s">
        <v>208</v>
      </c>
      <c r="O81" s="64"/>
      <c r="P81" s="3">
        <f t="shared" si="38"/>
        <v>0</v>
      </c>
      <c r="Q81" s="36">
        <f t="shared" si="39"/>
        <v>0</v>
      </c>
      <c r="S81" s="97"/>
      <c r="T81" s="110" t="s">
        <v>309</v>
      </c>
      <c r="U81" s="45" t="s">
        <v>310</v>
      </c>
      <c r="V81" s="64"/>
      <c r="W81" s="3">
        <f>V81</f>
        <v>0</v>
      </c>
      <c r="X81" s="36">
        <f>(IF(V80=1,1,0))+V81</f>
        <v>0</v>
      </c>
    </row>
    <row r="82" spans="12:24" ht="16.5" thickTop="1" thickBot="1" x14ac:dyDescent="0.3">
      <c r="L82" s="97"/>
      <c r="M82" s="108"/>
      <c r="N82" s="42" t="s">
        <v>209</v>
      </c>
      <c r="O82" s="64"/>
      <c r="P82" s="3">
        <f t="shared" si="38"/>
        <v>0</v>
      </c>
      <c r="Q82" s="36">
        <f t="shared" si="39"/>
        <v>0</v>
      </c>
      <c r="S82" s="97"/>
      <c r="T82" s="111"/>
      <c r="U82" s="46" t="s">
        <v>311</v>
      </c>
      <c r="V82" s="64"/>
      <c r="W82" s="3">
        <f>IF(V82=0,0,(V82*3))</f>
        <v>0</v>
      </c>
      <c r="X82" s="36">
        <f>V82</f>
        <v>0</v>
      </c>
    </row>
    <row r="83" spans="12:24" ht="15.75" thickBot="1" x14ac:dyDescent="0.3">
      <c r="L83" s="97"/>
      <c r="M83" s="108"/>
      <c r="N83" s="43" t="s">
        <v>210</v>
      </c>
      <c r="O83" s="64"/>
      <c r="P83" s="3">
        <f t="shared" si="38"/>
        <v>0</v>
      </c>
      <c r="Q83" s="36">
        <f t="shared" si="39"/>
        <v>0</v>
      </c>
      <c r="S83" s="97"/>
      <c r="T83" s="99" t="s">
        <v>312</v>
      </c>
      <c r="U83" s="100"/>
      <c r="V83" s="61"/>
      <c r="W83" s="3">
        <f>IF(V83=0,0,(IF(V83=1,2,0))-(IF($H$3=1,1,0)))</f>
        <v>0</v>
      </c>
      <c r="X83" s="37"/>
    </row>
    <row r="84" spans="12:24" ht="15.75" thickBot="1" x14ac:dyDescent="0.3">
      <c r="L84" s="97"/>
      <c r="M84" s="99" t="s">
        <v>211</v>
      </c>
      <c r="N84" s="100"/>
      <c r="O84" s="61"/>
      <c r="P84" s="3">
        <f>IF(O84=0,0,(IF(O84=1,2,0))-(IF($H$10=1,1,0)))</f>
        <v>0</v>
      </c>
      <c r="Q84" s="37"/>
      <c r="S84" s="98"/>
      <c r="T84" s="101" t="s">
        <v>312</v>
      </c>
      <c r="U84" s="41" t="s">
        <v>313</v>
      </c>
      <c r="V84" s="64"/>
      <c r="W84" s="3">
        <f>V84</f>
        <v>0</v>
      </c>
      <c r="X84" s="36">
        <f>(IF(V83=1,1,0))+V84</f>
        <v>0</v>
      </c>
    </row>
    <row r="85" spans="12:24" ht="15.75" thickBot="1" x14ac:dyDescent="0.3">
      <c r="L85" s="97"/>
      <c r="M85" s="108" t="s">
        <v>211</v>
      </c>
      <c r="N85" s="41" t="s">
        <v>212</v>
      </c>
      <c r="O85" s="64"/>
      <c r="P85" s="3">
        <f>O85</f>
        <v>0</v>
      </c>
      <c r="Q85" s="36">
        <f>(IF(O84=1,1,0))+O85</f>
        <v>0</v>
      </c>
      <c r="T85" s="164"/>
      <c r="U85" s="47" t="s">
        <v>314</v>
      </c>
      <c r="V85" s="65"/>
      <c r="W85" s="5">
        <f t="shared" ref="W85" si="41">V85</f>
        <v>0</v>
      </c>
      <c r="X85" s="38">
        <f>(IF(V83=1,1,0))+V85</f>
        <v>0</v>
      </c>
    </row>
    <row r="86" spans="12:24" ht="15.75" thickTop="1" x14ac:dyDescent="0.25">
      <c r="L86" s="97"/>
      <c r="M86" s="108"/>
      <c r="N86" s="42" t="s">
        <v>213</v>
      </c>
      <c r="O86" s="64"/>
      <c r="P86" s="3">
        <f>O86</f>
        <v>0</v>
      </c>
      <c r="Q86" s="36">
        <f>(IF(O84=1,1,0))+O86</f>
        <v>0</v>
      </c>
      <c r="T86" s="24"/>
      <c r="U86" s="8"/>
    </row>
    <row r="87" spans="12:24" x14ac:dyDescent="0.25">
      <c r="L87" s="97"/>
      <c r="M87" s="108"/>
      <c r="N87" s="42" t="s">
        <v>214</v>
      </c>
      <c r="O87" s="64"/>
      <c r="P87" s="3">
        <f>O87</f>
        <v>0</v>
      </c>
      <c r="Q87" s="36">
        <f>(IF(O84=1,1,0))+O87</f>
        <v>0</v>
      </c>
    </row>
    <row r="88" spans="12:24" ht="15.75" thickBot="1" x14ac:dyDescent="0.3">
      <c r="L88" s="97"/>
      <c r="M88" s="108"/>
      <c r="N88" s="43" t="s">
        <v>215</v>
      </c>
      <c r="O88" s="64"/>
      <c r="P88" s="3">
        <f>O88</f>
        <v>0</v>
      </c>
      <c r="Q88" s="36">
        <f>(IF(O84=1,1,0))+O88</f>
        <v>0</v>
      </c>
    </row>
    <row r="89" spans="12:24" ht="15.75" thickTop="1" x14ac:dyDescent="0.25">
      <c r="L89" s="97"/>
      <c r="M89" s="108"/>
      <c r="N89" s="44" t="s">
        <v>216</v>
      </c>
      <c r="O89" s="64"/>
      <c r="P89" s="3">
        <f>IF(O89=0,0,(O89*3)-((IF($H$14=1,2,0)*O89)))</f>
        <v>0</v>
      </c>
      <c r="Q89" s="36">
        <f>O89</f>
        <v>0</v>
      </c>
    </row>
    <row r="90" spans="12:24" x14ac:dyDescent="0.25">
      <c r="L90" s="97"/>
      <c r="M90" s="108"/>
      <c r="N90" s="42" t="s">
        <v>217</v>
      </c>
      <c r="O90" s="64"/>
      <c r="P90" s="3">
        <f t="shared" ref="P90:P93" si="42">IF(O90=0,0,(O90*3)-((IF($H$14=1,2,0)*O90)))</f>
        <v>0</v>
      </c>
      <c r="Q90" s="36">
        <f t="shared" ref="Q90:Q93" si="43">O90</f>
        <v>0</v>
      </c>
    </row>
    <row r="91" spans="12:24" x14ac:dyDescent="0.25">
      <c r="L91" s="97"/>
      <c r="M91" s="108"/>
      <c r="N91" s="42" t="s">
        <v>218</v>
      </c>
      <c r="O91" s="64"/>
      <c r="P91" s="3">
        <f t="shared" si="42"/>
        <v>0</v>
      </c>
      <c r="Q91" s="36">
        <f t="shared" si="43"/>
        <v>0</v>
      </c>
    </row>
    <row r="92" spans="12:24" x14ac:dyDescent="0.25">
      <c r="L92" s="97"/>
      <c r="M92" s="108"/>
      <c r="N92" s="42" t="s">
        <v>219</v>
      </c>
      <c r="O92" s="64"/>
      <c r="P92" s="3">
        <f t="shared" si="42"/>
        <v>0</v>
      </c>
      <c r="Q92" s="36">
        <f t="shared" si="43"/>
        <v>0</v>
      </c>
    </row>
    <row r="93" spans="12:24" ht="15.75" thickBot="1" x14ac:dyDescent="0.3">
      <c r="L93" s="97"/>
      <c r="M93" s="109"/>
      <c r="N93" s="43" t="s">
        <v>220</v>
      </c>
      <c r="O93" s="64"/>
      <c r="P93" s="3">
        <f t="shared" si="42"/>
        <v>0</v>
      </c>
      <c r="Q93" s="36">
        <f t="shared" si="43"/>
        <v>0</v>
      </c>
    </row>
    <row r="94" spans="12:24" ht="15.75" thickBot="1" x14ac:dyDescent="0.3">
      <c r="L94" s="97"/>
      <c r="M94" s="99" t="s">
        <v>221</v>
      </c>
      <c r="N94" s="100"/>
      <c r="O94" s="61"/>
      <c r="P94" s="3">
        <f>IF(O94=0,0,(IF(O94=1,2,0))-(IF($H$10=1,1,0)))</f>
        <v>0</v>
      </c>
      <c r="Q94" s="37"/>
    </row>
    <row r="95" spans="12:24" x14ac:dyDescent="0.25">
      <c r="L95" s="97"/>
      <c r="M95" s="120" t="s">
        <v>221</v>
      </c>
      <c r="N95" s="41" t="s">
        <v>192</v>
      </c>
      <c r="O95" s="64"/>
      <c r="P95" s="3">
        <f>O95</f>
        <v>0</v>
      </c>
      <c r="Q95" s="36">
        <f>(IF(O94=1,1,0))+O95+(IF((O61&gt;0),1,0))</f>
        <v>0</v>
      </c>
    </row>
    <row r="96" spans="12:24" x14ac:dyDescent="0.25">
      <c r="L96" s="97"/>
      <c r="M96" s="108"/>
      <c r="N96" s="42" t="s">
        <v>125</v>
      </c>
      <c r="O96" s="64"/>
      <c r="P96" s="3">
        <f>O96</f>
        <v>0</v>
      </c>
      <c r="Q96" s="36">
        <f>(IF(O94=1,1,0))+O96+(IF((O14&gt;0),1,0))</f>
        <v>0</v>
      </c>
    </row>
    <row r="97" spans="12:17" x14ac:dyDescent="0.25">
      <c r="L97" s="97"/>
      <c r="M97" s="108"/>
      <c r="N97" s="42" t="s">
        <v>194</v>
      </c>
      <c r="O97" s="64"/>
      <c r="P97" s="3">
        <f>O97</f>
        <v>0</v>
      </c>
      <c r="Q97" s="36">
        <f>(IF(O94=1,1,0))+O97+(IF((O94&gt;0),1,0))</f>
        <v>0</v>
      </c>
    </row>
    <row r="98" spans="12:17" ht="15.75" thickBot="1" x14ac:dyDescent="0.3">
      <c r="L98" s="97"/>
      <c r="M98" s="108"/>
      <c r="N98" s="43" t="s">
        <v>124</v>
      </c>
      <c r="O98" s="64"/>
      <c r="P98" s="3">
        <f>O98</f>
        <v>0</v>
      </c>
      <c r="Q98" s="36">
        <f>(IF(O94=1,1,0))+O98</f>
        <v>0</v>
      </c>
    </row>
    <row r="99" spans="12:17" ht="15.75" thickTop="1" x14ac:dyDescent="0.25">
      <c r="L99" s="97"/>
      <c r="M99" s="108"/>
      <c r="N99" s="44" t="s">
        <v>222</v>
      </c>
      <c r="O99" s="64"/>
      <c r="P99" s="3">
        <f>IF(O99=0,0,(O99*3)-((IF($H$14=1,2,0)*O99)))</f>
        <v>0</v>
      </c>
      <c r="Q99" s="36">
        <f>O99</f>
        <v>0</v>
      </c>
    </row>
    <row r="100" spans="12:17" x14ac:dyDescent="0.25">
      <c r="L100" s="97"/>
      <c r="M100" s="108"/>
      <c r="N100" s="42" t="s">
        <v>223</v>
      </c>
      <c r="O100" s="64"/>
      <c r="P100" s="3">
        <f t="shared" ref="P100:P105" si="44">IF(O100=0,0,(O100*3)-((IF($H$14=1,2,0)*O100)))</f>
        <v>0</v>
      </c>
      <c r="Q100" s="36">
        <f t="shared" ref="Q100:Q105" si="45">O100</f>
        <v>0</v>
      </c>
    </row>
    <row r="101" spans="12:17" x14ac:dyDescent="0.25">
      <c r="L101" s="97"/>
      <c r="M101" s="108"/>
      <c r="N101" s="42" t="s">
        <v>224</v>
      </c>
      <c r="O101" s="64"/>
      <c r="P101" s="3">
        <f t="shared" si="44"/>
        <v>0</v>
      </c>
      <c r="Q101" s="36">
        <f t="shared" si="45"/>
        <v>0</v>
      </c>
    </row>
    <row r="102" spans="12:17" x14ac:dyDescent="0.25">
      <c r="L102" s="97"/>
      <c r="M102" s="108"/>
      <c r="N102" s="42" t="s">
        <v>225</v>
      </c>
      <c r="O102" s="64"/>
      <c r="P102" s="3">
        <f t="shared" si="44"/>
        <v>0</v>
      </c>
      <c r="Q102" s="36">
        <f t="shared" si="45"/>
        <v>0</v>
      </c>
    </row>
    <row r="103" spans="12:17" x14ac:dyDescent="0.25">
      <c r="L103" s="97"/>
      <c r="M103" s="108"/>
      <c r="N103" s="42" t="s">
        <v>226</v>
      </c>
      <c r="O103" s="64"/>
      <c r="P103" s="3">
        <f t="shared" si="44"/>
        <v>0</v>
      </c>
      <c r="Q103" s="36">
        <f t="shared" si="45"/>
        <v>0</v>
      </c>
    </row>
    <row r="104" spans="12:17" x14ac:dyDescent="0.25">
      <c r="L104" s="97"/>
      <c r="M104" s="108"/>
      <c r="N104" s="42" t="s">
        <v>136</v>
      </c>
      <c r="O104" s="64"/>
      <c r="P104" s="3">
        <f t="shared" si="44"/>
        <v>0</v>
      </c>
      <c r="Q104" s="36">
        <f t="shared" si="45"/>
        <v>0</v>
      </c>
    </row>
    <row r="105" spans="12:17" x14ac:dyDescent="0.25">
      <c r="L105" s="97"/>
      <c r="M105" s="108"/>
      <c r="N105" s="42" t="s">
        <v>227</v>
      </c>
      <c r="O105" s="64"/>
      <c r="P105" s="3">
        <f t="shared" si="44"/>
        <v>0</v>
      </c>
      <c r="Q105" s="36">
        <f t="shared" si="45"/>
        <v>0</v>
      </c>
    </row>
    <row r="106" spans="12:17" x14ac:dyDescent="0.25">
      <c r="L106" s="97"/>
      <c r="M106" s="108"/>
      <c r="N106" s="42" t="s">
        <v>138</v>
      </c>
      <c r="O106" s="64"/>
      <c r="P106" s="3">
        <f>IF(O106=0,0,(O106*3)-((IF($H$14=1,2,0)*O106)))</f>
        <v>0</v>
      </c>
      <c r="Q106" s="36">
        <f>O106</f>
        <v>0</v>
      </c>
    </row>
    <row r="107" spans="12:17" ht="15.75" thickBot="1" x14ac:dyDescent="0.3">
      <c r="L107" s="97"/>
      <c r="M107" s="109"/>
      <c r="N107" s="43" t="s">
        <v>197</v>
      </c>
      <c r="O107" s="64"/>
      <c r="P107" s="3">
        <f t="shared" ref="P107" si="46">IF(O107=0,0,(O107*3)-((IF($H$14=1,2,0)*O107)))</f>
        <v>0</v>
      </c>
      <c r="Q107" s="36">
        <f t="shared" ref="Q107" si="47">O107</f>
        <v>0</v>
      </c>
    </row>
    <row r="108" spans="12:17" ht="15.75" thickBot="1" x14ac:dyDescent="0.3">
      <c r="L108" s="97"/>
      <c r="M108" s="99" t="s">
        <v>228</v>
      </c>
      <c r="N108" s="100"/>
      <c r="O108" s="61"/>
      <c r="P108" s="3">
        <f>IF(O108=0,0,(IF(O108=1,2,0))-(IF($H$10=1,1,0)))</f>
        <v>0</v>
      </c>
      <c r="Q108" s="37"/>
    </row>
    <row r="109" spans="12:17" x14ac:dyDescent="0.25">
      <c r="L109" s="97"/>
      <c r="M109" s="120" t="s">
        <v>228</v>
      </c>
      <c r="N109" s="41"/>
      <c r="O109" s="64"/>
      <c r="P109" s="3">
        <f>O109</f>
        <v>0</v>
      </c>
      <c r="Q109" s="36">
        <f>(IF(O108=1,1,0))+O109</f>
        <v>0</v>
      </c>
    </row>
    <row r="110" spans="12:17" x14ac:dyDescent="0.25">
      <c r="L110" s="97"/>
      <c r="M110" s="108"/>
      <c r="N110" s="42"/>
      <c r="O110" s="64"/>
      <c r="P110" s="3">
        <f>O110</f>
        <v>0</v>
      </c>
      <c r="Q110" s="36">
        <f>(IF(O108=1,1,0))+O110</f>
        <v>0</v>
      </c>
    </row>
    <row r="111" spans="12:17" x14ac:dyDescent="0.25">
      <c r="L111" s="97"/>
      <c r="M111" s="108"/>
      <c r="N111" s="42"/>
      <c r="O111" s="64"/>
      <c r="P111" s="3">
        <f>O111</f>
        <v>0</v>
      </c>
      <c r="Q111" s="36">
        <f>(IF(O108=1,1,0))+O111</f>
        <v>0</v>
      </c>
    </row>
    <row r="112" spans="12:17" x14ac:dyDescent="0.25">
      <c r="L112" s="97"/>
      <c r="M112" s="108"/>
      <c r="N112" s="42"/>
      <c r="O112" s="64"/>
      <c r="P112" s="3">
        <f>IF(O112=0,0,(O112*1))</f>
        <v>0</v>
      </c>
      <c r="Q112" s="36">
        <f>O112</f>
        <v>0</v>
      </c>
    </row>
    <row r="113" spans="12:17" x14ac:dyDescent="0.25">
      <c r="L113" s="97"/>
      <c r="M113" s="108"/>
      <c r="N113" s="42"/>
      <c r="O113" s="64"/>
      <c r="P113" s="3">
        <f t="shared" ref="P113:P115" si="48">IF(O113=0,0,(O113*1))</f>
        <v>0</v>
      </c>
      <c r="Q113" s="36">
        <f t="shared" ref="Q113:Q117" si="49">O113</f>
        <v>0</v>
      </c>
    </row>
    <row r="114" spans="12:17" x14ac:dyDescent="0.25">
      <c r="L114" s="97"/>
      <c r="M114" s="108"/>
      <c r="N114" s="42"/>
      <c r="O114" s="64"/>
      <c r="P114" s="3">
        <f t="shared" si="48"/>
        <v>0</v>
      </c>
      <c r="Q114" s="36">
        <f t="shared" si="49"/>
        <v>0</v>
      </c>
    </row>
    <row r="115" spans="12:17" ht="15.75" thickBot="1" x14ac:dyDescent="0.3">
      <c r="L115" s="97"/>
      <c r="M115" s="108"/>
      <c r="N115" s="43"/>
      <c r="O115" s="64"/>
      <c r="P115" s="3">
        <f t="shared" si="48"/>
        <v>0</v>
      </c>
      <c r="Q115" s="36">
        <f t="shared" si="49"/>
        <v>0</v>
      </c>
    </row>
    <row r="116" spans="12:17" ht="15.75" thickTop="1" x14ac:dyDescent="0.25">
      <c r="L116" s="97"/>
      <c r="M116" s="108"/>
      <c r="N116" s="44" t="s">
        <v>129</v>
      </c>
      <c r="O116" s="64"/>
      <c r="P116" s="3">
        <f t="shared" ref="P116:P117" si="50">IF(O116=0,0,(O116*3)-((IF($H$14=1,2,0)*O116)))</f>
        <v>0</v>
      </c>
      <c r="Q116" s="36">
        <f t="shared" si="49"/>
        <v>0</v>
      </c>
    </row>
    <row r="117" spans="12:17" ht="15.75" thickBot="1" x14ac:dyDescent="0.3">
      <c r="L117" s="97"/>
      <c r="M117" s="109"/>
      <c r="N117" s="43" t="s">
        <v>87</v>
      </c>
      <c r="O117" s="64"/>
      <c r="P117" s="3">
        <f t="shared" si="50"/>
        <v>0</v>
      </c>
      <c r="Q117" s="36">
        <f t="shared" si="49"/>
        <v>0</v>
      </c>
    </row>
    <row r="118" spans="12:17" ht="15.75" thickBot="1" x14ac:dyDescent="0.3">
      <c r="L118" s="97"/>
      <c r="M118" s="99" t="s">
        <v>236</v>
      </c>
      <c r="N118" s="100"/>
      <c r="O118" s="61"/>
      <c r="P118" s="3">
        <f>IF(O118=0,0,(IF(O118=1,2,0))-(IF($H$10=1,1,0)))*(IF(H7=1,0,1))</f>
        <v>0</v>
      </c>
      <c r="Q118" s="37"/>
    </row>
    <row r="119" spans="12:17" x14ac:dyDescent="0.25">
      <c r="L119" s="97"/>
      <c r="M119" s="120" t="s">
        <v>236</v>
      </c>
      <c r="N119" s="41" t="s">
        <v>239</v>
      </c>
      <c r="O119" s="64"/>
      <c r="P119" s="3">
        <f>O119</f>
        <v>0</v>
      </c>
      <c r="Q119" s="36">
        <f>((IF(O118=1,1,0))+O119)</f>
        <v>0</v>
      </c>
    </row>
    <row r="120" spans="12:17" ht="15.75" thickBot="1" x14ac:dyDescent="0.3">
      <c r="L120" s="97"/>
      <c r="M120" s="108"/>
      <c r="N120" s="43" t="s">
        <v>240</v>
      </c>
      <c r="O120" s="64"/>
      <c r="P120" s="3">
        <f>O120</f>
        <v>0</v>
      </c>
      <c r="Q120" s="36">
        <f>(IF(O118=1,1,0))+O120</f>
        <v>0</v>
      </c>
    </row>
    <row r="121" spans="12:17" ht="15.75" thickTop="1" x14ac:dyDescent="0.25">
      <c r="L121" s="97"/>
      <c r="M121" s="108"/>
      <c r="N121" s="44" t="s">
        <v>237</v>
      </c>
      <c r="O121" s="64"/>
      <c r="P121" s="3">
        <f t="shared" ref="P121:P123" si="51">IF(O121=0,0,(O121*3)-((IF($H$14=1,2,0)*O121)))</f>
        <v>0</v>
      </c>
      <c r="Q121" s="36">
        <f t="shared" ref="Q121:Q123" si="52">O121</f>
        <v>0</v>
      </c>
    </row>
    <row r="122" spans="12:17" x14ac:dyDescent="0.25">
      <c r="L122" s="97"/>
      <c r="M122" s="108"/>
      <c r="N122" s="42" t="s">
        <v>82</v>
      </c>
      <c r="O122" s="64"/>
      <c r="P122" s="3">
        <f t="shared" si="51"/>
        <v>0</v>
      </c>
      <c r="Q122" s="36">
        <f t="shared" si="52"/>
        <v>0</v>
      </c>
    </row>
    <row r="123" spans="12:17" ht="15.75" thickBot="1" x14ac:dyDescent="0.3">
      <c r="L123" s="98"/>
      <c r="M123" s="121"/>
      <c r="N123" s="47" t="s">
        <v>238</v>
      </c>
      <c r="O123" s="65"/>
      <c r="P123" s="5">
        <f t="shared" si="51"/>
        <v>0</v>
      </c>
      <c r="Q123" s="38">
        <f t="shared" si="52"/>
        <v>0</v>
      </c>
    </row>
    <row r="124" spans="12:17" ht="15.75" thickTop="1" x14ac:dyDescent="0.25"/>
  </sheetData>
  <mergeCells count="113">
    <mergeCell ref="C60:D75"/>
    <mergeCell ref="C59:D59"/>
    <mergeCell ref="A8:A13"/>
    <mergeCell ref="AH1:AH2"/>
    <mergeCell ref="AI1:AI2"/>
    <mergeCell ref="AJ1:AJ2"/>
    <mergeCell ref="AK1:AK2"/>
    <mergeCell ref="AL1:AL2"/>
    <mergeCell ref="AH3:AH6"/>
    <mergeCell ref="AH7:AH10"/>
    <mergeCell ref="AH11:AH14"/>
    <mergeCell ref="AH15:AH18"/>
    <mergeCell ref="AH19:AH22"/>
    <mergeCell ref="AH23:AH26"/>
    <mergeCell ref="AB1:AB2"/>
    <mergeCell ref="AD1:AF1"/>
    <mergeCell ref="AD2:AF2"/>
    <mergeCell ref="Z1:Z2"/>
    <mergeCell ref="AA1:AA2"/>
    <mergeCell ref="M1:M2"/>
    <mergeCell ref="N1:N2"/>
    <mergeCell ref="L1:L2"/>
    <mergeCell ref="S1:S2"/>
    <mergeCell ref="Z3:Z7"/>
    <mergeCell ref="Z8:Z31"/>
    <mergeCell ref="D23:E23"/>
    <mergeCell ref="D24:E24"/>
    <mergeCell ref="M14:N14"/>
    <mergeCell ref="M15:M24"/>
    <mergeCell ref="L3:L123"/>
    <mergeCell ref="M94:N94"/>
    <mergeCell ref="M95:M107"/>
    <mergeCell ref="M108:N108"/>
    <mergeCell ref="M109:M117"/>
    <mergeCell ref="M62:M71"/>
    <mergeCell ref="M72:N72"/>
    <mergeCell ref="M73:M83"/>
    <mergeCell ref="M84:N84"/>
    <mergeCell ref="M85:M93"/>
    <mergeCell ref="M48:N48"/>
    <mergeCell ref="M52:N52"/>
    <mergeCell ref="M49:M51"/>
    <mergeCell ref="Z32:Z43"/>
    <mergeCell ref="Z44:Z48"/>
    <mergeCell ref="Z49:Z53"/>
    <mergeCell ref="M61:N61"/>
    <mergeCell ref="T83:U83"/>
    <mergeCell ref="T84:T85"/>
    <mergeCell ref="A4:A6"/>
    <mergeCell ref="B1:B2"/>
    <mergeCell ref="A1:A2"/>
    <mergeCell ref="A17:A24"/>
    <mergeCell ref="J44:J47"/>
    <mergeCell ref="G1:G2"/>
    <mergeCell ref="H1:H2"/>
    <mergeCell ref="I1:I2"/>
    <mergeCell ref="I36:I38"/>
    <mergeCell ref="J22:J32"/>
    <mergeCell ref="J36:J38"/>
    <mergeCell ref="C1:E2"/>
    <mergeCell ref="J1:J2"/>
    <mergeCell ref="J16:J17"/>
    <mergeCell ref="D17:E22"/>
    <mergeCell ref="D4:E4"/>
    <mergeCell ref="D5:E6"/>
    <mergeCell ref="F1:F2"/>
    <mergeCell ref="A32:E33"/>
    <mergeCell ref="V1:V2"/>
    <mergeCell ref="W1:W2"/>
    <mergeCell ref="X1:X2"/>
    <mergeCell ref="M118:N118"/>
    <mergeCell ref="M119:M123"/>
    <mergeCell ref="M25:N25"/>
    <mergeCell ref="M26:M37"/>
    <mergeCell ref="M3:N3"/>
    <mergeCell ref="M4:M13"/>
    <mergeCell ref="P1:P2"/>
    <mergeCell ref="Q1:Q2"/>
    <mergeCell ref="M38:N38"/>
    <mergeCell ref="M39:M47"/>
    <mergeCell ref="O1:O2"/>
    <mergeCell ref="T3:U3"/>
    <mergeCell ref="T11:U11"/>
    <mergeCell ref="T1:T2"/>
    <mergeCell ref="U1:U2"/>
    <mergeCell ref="T31:T40"/>
    <mergeCell ref="T41:U41"/>
    <mergeCell ref="T42:T46"/>
    <mergeCell ref="T12:T23"/>
    <mergeCell ref="M53:M60"/>
    <mergeCell ref="T81:T82"/>
    <mergeCell ref="S3:S84"/>
    <mergeCell ref="T72:U72"/>
    <mergeCell ref="T73:T75"/>
    <mergeCell ref="T76:U76"/>
    <mergeCell ref="T77:T79"/>
    <mergeCell ref="T80:U80"/>
    <mergeCell ref="T63:T67"/>
    <mergeCell ref="T68:U68"/>
    <mergeCell ref="T69:T71"/>
    <mergeCell ref="T55:T58"/>
    <mergeCell ref="T59:U59"/>
    <mergeCell ref="T60:T61"/>
    <mergeCell ref="T62:U62"/>
    <mergeCell ref="T4:T10"/>
    <mergeCell ref="T24:U24"/>
    <mergeCell ref="T25:T29"/>
    <mergeCell ref="T30:U30"/>
    <mergeCell ref="T47:U47"/>
    <mergeCell ref="T48:T50"/>
    <mergeCell ref="T51:U51"/>
    <mergeCell ref="T52:T53"/>
    <mergeCell ref="T54:U5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4" name="Drop Down 32">
              <controlPr defaultSize="0" autoLine="0" autoPict="0">
                <anchor moveWithCells="1">
                  <from>
                    <xdr:col>13</xdr:col>
                    <xdr:colOff>0</xdr:colOff>
                    <xdr:row>38</xdr:row>
                    <xdr:rowOff>0</xdr:rowOff>
                  </from>
                  <to>
                    <xdr:col>13</xdr:col>
                    <xdr:colOff>1095375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5" name="Drop Down 33">
              <controlPr defaultSize="0" autoLine="0" autoPict="0">
                <anchor moveWithCells="1">
                  <from>
                    <xdr:col>13</xdr:col>
                    <xdr:colOff>0</xdr:colOff>
                    <xdr:row>39</xdr:row>
                    <xdr:rowOff>0</xdr:rowOff>
                  </from>
                  <to>
                    <xdr:col>13</xdr:col>
                    <xdr:colOff>1095375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" name="Drop Down 34">
              <controlPr defaultSize="0" autoLine="0" autoPict="0">
                <anchor moveWithCells="1">
                  <from>
                    <xdr:col>13</xdr:col>
                    <xdr:colOff>0</xdr:colOff>
                    <xdr:row>40</xdr:row>
                    <xdr:rowOff>0</xdr:rowOff>
                  </from>
                  <to>
                    <xdr:col>13</xdr:col>
                    <xdr:colOff>1095375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Drop Down 35">
              <controlPr defaultSize="0" autoLine="0" autoPict="0">
                <anchor moveWithCells="1">
                  <from>
                    <xdr:col>13</xdr:col>
                    <xdr:colOff>0</xdr:colOff>
                    <xdr:row>41</xdr:row>
                    <xdr:rowOff>0</xdr:rowOff>
                  </from>
                  <to>
                    <xdr:col>13</xdr:col>
                    <xdr:colOff>1095375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Drop Down 36">
              <controlPr defaultSize="0" autoLine="0" autoPict="0">
                <anchor moveWithCells="1">
                  <from>
                    <xdr:col>13</xdr:col>
                    <xdr:colOff>0</xdr:colOff>
                    <xdr:row>42</xdr:row>
                    <xdr:rowOff>0</xdr:rowOff>
                  </from>
                  <to>
                    <xdr:col>13</xdr:col>
                    <xdr:colOff>1095375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9" name="Drop Down 37">
              <controlPr defaultSize="0" autoLine="0" autoPict="0">
                <anchor moveWithCells="1">
                  <from>
                    <xdr:col>13</xdr:col>
                    <xdr:colOff>0</xdr:colOff>
                    <xdr:row>48</xdr:row>
                    <xdr:rowOff>0</xdr:rowOff>
                  </from>
                  <to>
                    <xdr:col>13</xdr:col>
                    <xdr:colOff>1095375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Drop Down 38">
              <controlPr defaultSize="0" autoLine="0" autoPict="0">
                <anchor moveWithCells="1">
                  <from>
                    <xdr:col>13</xdr:col>
                    <xdr:colOff>0</xdr:colOff>
                    <xdr:row>49</xdr:row>
                    <xdr:rowOff>0</xdr:rowOff>
                  </from>
                  <to>
                    <xdr:col>13</xdr:col>
                    <xdr:colOff>1095375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Drop Down 39">
              <controlPr defaultSize="0" autoLine="0" autoPict="0">
                <anchor moveWithCells="1">
                  <from>
                    <xdr:col>13</xdr:col>
                    <xdr:colOff>0</xdr:colOff>
                    <xdr:row>50</xdr:row>
                    <xdr:rowOff>0</xdr:rowOff>
                  </from>
                  <to>
                    <xdr:col>13</xdr:col>
                    <xdr:colOff>1095375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Drop Down 40">
              <controlPr defaultSize="0" autoLine="0" autoPict="0">
                <anchor moveWithCells="1">
                  <from>
                    <xdr:col>13</xdr:col>
                    <xdr:colOff>0</xdr:colOff>
                    <xdr:row>108</xdr:row>
                    <xdr:rowOff>0</xdr:rowOff>
                  </from>
                  <to>
                    <xdr:col>13</xdr:col>
                    <xdr:colOff>1095375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Drop Down 41">
              <controlPr defaultSize="0" autoLine="0" autoPict="0">
                <anchor moveWithCells="1">
                  <from>
                    <xdr:col>13</xdr:col>
                    <xdr:colOff>0</xdr:colOff>
                    <xdr:row>109</xdr:row>
                    <xdr:rowOff>0</xdr:rowOff>
                  </from>
                  <to>
                    <xdr:col>13</xdr:col>
                    <xdr:colOff>1095375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4" name="Drop Down 42">
              <controlPr defaultSize="0" autoLine="0" autoPict="0">
                <anchor moveWithCells="1">
                  <from>
                    <xdr:col>13</xdr:col>
                    <xdr:colOff>0</xdr:colOff>
                    <xdr:row>110</xdr:row>
                    <xdr:rowOff>0</xdr:rowOff>
                  </from>
                  <to>
                    <xdr:col>13</xdr:col>
                    <xdr:colOff>1095375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Drop Down 43">
              <controlPr defaultSize="0" autoLine="0" autoPict="0">
                <anchor moveWithCells="1">
                  <from>
                    <xdr:col>13</xdr:col>
                    <xdr:colOff>0</xdr:colOff>
                    <xdr:row>111</xdr:row>
                    <xdr:rowOff>0</xdr:rowOff>
                  </from>
                  <to>
                    <xdr:col>13</xdr:col>
                    <xdr:colOff>1095375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6" name="Drop Down 44">
              <controlPr defaultSize="0" autoLine="0" autoPict="0">
                <anchor moveWithCells="1">
                  <from>
                    <xdr:col>13</xdr:col>
                    <xdr:colOff>0</xdr:colOff>
                    <xdr:row>112</xdr:row>
                    <xdr:rowOff>0</xdr:rowOff>
                  </from>
                  <to>
                    <xdr:col>13</xdr:col>
                    <xdr:colOff>1095375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7" name="Drop Down 45">
              <controlPr defaultSize="0" autoLine="0" autoPict="0">
                <anchor moveWithCells="1">
                  <from>
                    <xdr:col>13</xdr:col>
                    <xdr:colOff>0</xdr:colOff>
                    <xdr:row>113</xdr:row>
                    <xdr:rowOff>0</xdr:rowOff>
                  </from>
                  <to>
                    <xdr:col>13</xdr:col>
                    <xdr:colOff>1095375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8" name="Drop Down 46">
              <controlPr defaultSize="0" autoLine="0" autoPict="0">
                <anchor moveWithCells="1">
                  <from>
                    <xdr:col>13</xdr:col>
                    <xdr:colOff>0</xdr:colOff>
                    <xdr:row>114</xdr:row>
                    <xdr:rowOff>0</xdr:rowOff>
                  </from>
                  <to>
                    <xdr:col>13</xdr:col>
                    <xdr:colOff>1095375</xdr:colOff>
                    <xdr:row>114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V30"/>
  <sheetViews>
    <sheetView workbookViewId="0">
      <selection activeCell="K20" sqref="K20"/>
    </sheetView>
  </sheetViews>
  <sheetFormatPr defaultRowHeight="15" x14ac:dyDescent="0.25"/>
  <cols>
    <col min="1" max="1" width="19" style="12" customWidth="1"/>
    <col min="2" max="9" width="9.140625" style="12"/>
    <col min="10" max="10" width="26.140625" style="12" customWidth="1"/>
    <col min="11" max="11" width="9.140625" style="12"/>
    <col min="12" max="12" width="12.85546875" style="12" bestFit="1" customWidth="1"/>
    <col min="13" max="13" width="15.5703125" style="12" bestFit="1" customWidth="1"/>
    <col min="14" max="15" width="9.140625" style="12"/>
    <col min="16" max="16" width="11.42578125" style="12" customWidth="1"/>
    <col min="17" max="18" width="9.140625" style="12"/>
    <col min="19" max="19" width="9.42578125" style="12" customWidth="1"/>
    <col min="20" max="16384" width="9.140625" style="12"/>
  </cols>
  <sheetData>
    <row r="1" spans="1:22" ht="16.5" thickTop="1" thickBot="1" x14ac:dyDescent="0.3">
      <c r="A1" s="13" t="s">
        <v>103</v>
      </c>
      <c r="B1" s="14" t="s">
        <v>100</v>
      </c>
      <c r="C1" s="14" t="s">
        <v>101</v>
      </c>
      <c r="D1" s="187"/>
      <c r="E1" s="188"/>
      <c r="F1" s="188"/>
      <c r="G1" s="188"/>
      <c r="H1" s="188"/>
      <c r="I1" s="188"/>
      <c r="J1" s="189"/>
      <c r="L1" s="202" t="s">
        <v>62</v>
      </c>
      <c r="M1" s="203"/>
      <c r="O1" s="183" t="s">
        <v>175</v>
      </c>
      <c r="P1" s="184"/>
      <c r="R1" s="183" t="s">
        <v>176</v>
      </c>
      <c r="S1" s="184"/>
      <c r="U1" s="183" t="s">
        <v>229</v>
      </c>
      <c r="V1" s="184"/>
    </row>
    <row r="2" spans="1:22" ht="16.5" thickTop="1" thickBot="1" x14ac:dyDescent="0.3">
      <c r="A2" s="15" t="s">
        <v>90</v>
      </c>
      <c r="B2" s="16">
        <v>3</v>
      </c>
      <c r="C2" s="16" t="s">
        <v>106</v>
      </c>
      <c r="D2" s="190"/>
      <c r="E2" s="191"/>
      <c r="F2" s="191"/>
      <c r="G2" s="191"/>
      <c r="H2" s="191"/>
      <c r="I2" s="191"/>
      <c r="J2" s="192"/>
      <c r="L2" s="204" t="s">
        <v>110</v>
      </c>
      <c r="M2" s="205"/>
      <c r="O2" s="185" t="s">
        <v>142</v>
      </c>
      <c r="P2" s="186"/>
      <c r="R2" s="185" t="s">
        <v>123</v>
      </c>
      <c r="S2" s="186"/>
      <c r="U2" s="185" t="s">
        <v>230</v>
      </c>
      <c r="V2" s="186"/>
    </row>
    <row r="3" spans="1:22" ht="15" customHeight="1" x14ac:dyDescent="0.25">
      <c r="A3" s="15" t="s">
        <v>91</v>
      </c>
      <c r="B3" s="16">
        <v>2</v>
      </c>
      <c r="C3" s="16" t="s">
        <v>102</v>
      </c>
      <c r="D3" s="193"/>
      <c r="E3" s="194"/>
      <c r="F3" s="194"/>
      <c r="G3" s="194"/>
      <c r="H3" s="194"/>
      <c r="I3" s="194"/>
      <c r="J3" s="195"/>
      <c r="L3" s="20" t="s">
        <v>111</v>
      </c>
      <c r="M3" s="21" t="s">
        <v>115</v>
      </c>
      <c r="O3" s="181" t="s">
        <v>143</v>
      </c>
      <c r="P3" s="182"/>
      <c r="R3" s="181" t="s">
        <v>177</v>
      </c>
      <c r="S3" s="182"/>
      <c r="U3" s="181" t="s">
        <v>231</v>
      </c>
      <c r="V3" s="182"/>
    </row>
    <row r="4" spans="1:22" ht="15" customHeight="1" x14ac:dyDescent="0.25">
      <c r="A4" s="15" t="s">
        <v>92</v>
      </c>
      <c r="B4" s="16">
        <v>6</v>
      </c>
      <c r="C4" s="209" t="s">
        <v>107</v>
      </c>
      <c r="D4" s="209"/>
      <c r="E4" s="209"/>
      <c r="F4" s="209"/>
      <c r="G4" s="209"/>
      <c r="H4" s="209"/>
      <c r="I4" s="209"/>
      <c r="J4" s="210"/>
      <c r="L4" s="15" t="s">
        <v>112</v>
      </c>
      <c r="M4" s="17" t="s">
        <v>116</v>
      </c>
      <c r="O4" s="181" t="s">
        <v>144</v>
      </c>
      <c r="P4" s="182"/>
      <c r="R4" s="181" t="s">
        <v>178</v>
      </c>
      <c r="S4" s="182"/>
      <c r="U4" s="181" t="s">
        <v>79</v>
      </c>
      <c r="V4" s="182"/>
    </row>
    <row r="5" spans="1:22" ht="15.75" customHeight="1" thickBot="1" x14ac:dyDescent="0.3">
      <c r="A5" s="15" t="s">
        <v>93</v>
      </c>
      <c r="B5" s="16">
        <v>2</v>
      </c>
      <c r="C5" s="16" t="s">
        <v>102</v>
      </c>
      <c r="D5" s="196"/>
      <c r="E5" s="197"/>
      <c r="F5" s="197"/>
      <c r="G5" s="197"/>
      <c r="H5" s="197"/>
      <c r="I5" s="197"/>
      <c r="J5" s="198"/>
      <c r="L5" s="22" t="s">
        <v>113</v>
      </c>
      <c r="M5" s="23" t="s">
        <v>117</v>
      </c>
      <c r="O5" s="181" t="s">
        <v>145</v>
      </c>
      <c r="P5" s="182"/>
      <c r="R5" s="181" t="s">
        <v>179</v>
      </c>
      <c r="S5" s="182"/>
      <c r="U5" s="181" t="s">
        <v>232</v>
      </c>
      <c r="V5" s="182"/>
    </row>
    <row r="6" spans="1:22" ht="15.75" customHeight="1" thickBot="1" x14ac:dyDescent="0.3">
      <c r="A6" s="15" t="s">
        <v>94</v>
      </c>
      <c r="B6" s="16">
        <v>2</v>
      </c>
      <c r="C6" s="16" t="s">
        <v>102</v>
      </c>
      <c r="D6" s="190"/>
      <c r="E6" s="191"/>
      <c r="F6" s="191"/>
      <c r="G6" s="191"/>
      <c r="H6" s="191"/>
      <c r="I6" s="191"/>
      <c r="J6" s="192"/>
      <c r="L6" s="206" t="s">
        <v>114</v>
      </c>
      <c r="M6" s="207"/>
      <c r="O6" s="181" t="s">
        <v>146</v>
      </c>
      <c r="P6" s="182"/>
      <c r="R6" s="181" t="s">
        <v>180</v>
      </c>
      <c r="S6" s="182"/>
      <c r="U6" s="181" t="s">
        <v>233</v>
      </c>
      <c r="V6" s="182"/>
    </row>
    <row r="7" spans="1:22" ht="15" customHeight="1" thickBot="1" x14ac:dyDescent="0.3">
      <c r="A7" s="15" t="s">
        <v>95</v>
      </c>
      <c r="B7" s="16">
        <v>1</v>
      </c>
      <c r="C7" s="16" t="s">
        <v>102</v>
      </c>
      <c r="D7" s="190"/>
      <c r="E7" s="191"/>
      <c r="F7" s="191"/>
      <c r="G7" s="191"/>
      <c r="H7" s="191"/>
      <c r="I7" s="191"/>
      <c r="J7" s="192"/>
      <c r="L7" s="20" t="s">
        <v>111</v>
      </c>
      <c r="M7" s="21" t="s">
        <v>118</v>
      </c>
      <c r="O7" s="181" t="s">
        <v>147</v>
      </c>
      <c r="P7" s="182"/>
      <c r="R7" s="179" t="s">
        <v>181</v>
      </c>
      <c r="S7" s="180"/>
      <c r="U7" s="181" t="s">
        <v>234</v>
      </c>
      <c r="V7" s="182"/>
    </row>
    <row r="8" spans="1:22" ht="15" customHeight="1" thickTop="1" thickBot="1" x14ac:dyDescent="0.3">
      <c r="A8" s="15" t="s">
        <v>96</v>
      </c>
      <c r="B8" s="16">
        <v>6</v>
      </c>
      <c r="C8" s="16" t="s">
        <v>102</v>
      </c>
      <c r="D8" s="193"/>
      <c r="E8" s="194"/>
      <c r="F8" s="194"/>
      <c r="G8" s="194"/>
      <c r="H8" s="194"/>
      <c r="I8" s="194"/>
      <c r="J8" s="195"/>
      <c r="L8" s="15" t="s">
        <v>112</v>
      </c>
      <c r="M8" s="17" t="s">
        <v>119</v>
      </c>
      <c r="O8" s="181" t="s">
        <v>148</v>
      </c>
      <c r="P8" s="182"/>
      <c r="U8" s="179" t="s">
        <v>235</v>
      </c>
      <c r="V8" s="180"/>
    </row>
    <row r="9" spans="1:22" ht="15.75" customHeight="1" thickTop="1" thickBot="1" x14ac:dyDescent="0.3">
      <c r="A9" s="15" t="s">
        <v>97</v>
      </c>
      <c r="B9" s="16">
        <v>4</v>
      </c>
      <c r="C9" s="209" t="s">
        <v>108</v>
      </c>
      <c r="D9" s="209"/>
      <c r="E9" s="209"/>
      <c r="F9" s="209"/>
      <c r="G9" s="209"/>
      <c r="H9" s="209"/>
      <c r="I9" s="209"/>
      <c r="J9" s="210"/>
      <c r="L9" s="18" t="s">
        <v>113</v>
      </c>
      <c r="M9" s="19" t="s">
        <v>120</v>
      </c>
      <c r="O9" s="181" t="s">
        <v>149</v>
      </c>
      <c r="P9" s="182"/>
    </row>
    <row r="10" spans="1:22" ht="15.75" customHeight="1" thickTop="1" x14ac:dyDescent="0.25">
      <c r="A10" s="15" t="s">
        <v>98</v>
      </c>
      <c r="B10" s="16">
        <v>5</v>
      </c>
      <c r="C10" s="209" t="s">
        <v>109</v>
      </c>
      <c r="D10" s="209"/>
      <c r="E10" s="209"/>
      <c r="F10" s="209"/>
      <c r="G10" s="209"/>
      <c r="H10" s="209"/>
      <c r="I10" s="209"/>
      <c r="J10" s="210"/>
      <c r="O10" s="181" t="s">
        <v>150</v>
      </c>
      <c r="P10" s="182"/>
    </row>
    <row r="11" spans="1:22" ht="15" customHeight="1" x14ac:dyDescent="0.25">
      <c r="A11" s="15" t="s">
        <v>99</v>
      </c>
      <c r="B11" s="16">
        <v>7</v>
      </c>
      <c r="C11" s="209" t="s">
        <v>109</v>
      </c>
      <c r="D11" s="209"/>
      <c r="E11" s="209"/>
      <c r="F11" s="209"/>
      <c r="G11" s="209"/>
      <c r="H11" s="209"/>
      <c r="I11" s="209"/>
      <c r="J11" s="210"/>
      <c r="O11" s="181" t="s">
        <v>151</v>
      </c>
      <c r="P11" s="182"/>
    </row>
    <row r="12" spans="1:22" ht="15" customHeight="1" x14ac:dyDescent="0.25">
      <c r="A12" s="199"/>
      <c r="B12" s="200"/>
      <c r="C12" s="200"/>
      <c r="D12" s="200"/>
      <c r="E12" s="200"/>
      <c r="F12" s="200"/>
      <c r="G12" s="200"/>
      <c r="H12" s="200"/>
      <c r="I12" s="200"/>
      <c r="J12" s="201"/>
      <c r="O12" s="181" t="s">
        <v>152</v>
      </c>
      <c r="P12" s="182"/>
    </row>
    <row r="13" spans="1:22" ht="15" customHeight="1" x14ac:dyDescent="0.25">
      <c r="A13" s="208" t="s">
        <v>104</v>
      </c>
      <c r="B13" s="209"/>
      <c r="C13" s="209"/>
      <c r="D13" s="209"/>
      <c r="E13" s="209"/>
      <c r="F13" s="209"/>
      <c r="G13" s="209"/>
      <c r="H13" s="209"/>
      <c r="I13" s="209"/>
      <c r="J13" s="210"/>
      <c r="O13" s="181" t="s">
        <v>153</v>
      </c>
      <c r="P13" s="182"/>
    </row>
    <row r="14" spans="1:22" ht="15.75" customHeight="1" thickBot="1" x14ac:dyDescent="0.3">
      <c r="A14" s="211" t="s">
        <v>105</v>
      </c>
      <c r="B14" s="212"/>
      <c r="C14" s="212"/>
      <c r="D14" s="212"/>
      <c r="E14" s="212"/>
      <c r="F14" s="212"/>
      <c r="G14" s="212"/>
      <c r="H14" s="212"/>
      <c r="I14" s="212"/>
      <c r="J14" s="213"/>
      <c r="O14" s="181" t="s">
        <v>154</v>
      </c>
      <c r="P14" s="182"/>
    </row>
    <row r="15" spans="1:22" ht="15.75" customHeight="1" thickTop="1" x14ac:dyDescent="0.25">
      <c r="O15" s="181" t="s">
        <v>155</v>
      </c>
      <c r="P15" s="182"/>
    </row>
    <row r="16" spans="1:22" ht="15" customHeight="1" x14ac:dyDescent="0.25">
      <c r="O16" s="181" t="s">
        <v>156</v>
      </c>
      <c r="P16" s="182"/>
    </row>
    <row r="17" spans="15:16" ht="15" customHeight="1" x14ac:dyDescent="0.25">
      <c r="O17" s="181" t="s">
        <v>157</v>
      </c>
      <c r="P17" s="182"/>
    </row>
    <row r="18" spans="15:16" ht="15" customHeight="1" x14ac:dyDescent="0.25">
      <c r="O18" s="181" t="s">
        <v>158</v>
      </c>
      <c r="P18" s="182"/>
    </row>
    <row r="19" spans="15:16" ht="15" customHeight="1" x14ac:dyDescent="0.25">
      <c r="O19" s="181" t="s">
        <v>159</v>
      </c>
      <c r="P19" s="182"/>
    </row>
    <row r="20" spans="15:16" ht="15" customHeight="1" x14ac:dyDescent="0.25">
      <c r="O20" s="181" t="s">
        <v>160</v>
      </c>
      <c r="P20" s="182"/>
    </row>
    <row r="21" spans="15:16" ht="15" customHeight="1" x14ac:dyDescent="0.25">
      <c r="O21" s="181" t="s">
        <v>161</v>
      </c>
      <c r="P21" s="182"/>
    </row>
    <row r="22" spans="15:16" ht="15" customHeight="1" x14ac:dyDescent="0.25">
      <c r="O22" s="181" t="s">
        <v>162</v>
      </c>
      <c r="P22" s="182"/>
    </row>
    <row r="23" spans="15:16" ht="15" customHeight="1" x14ac:dyDescent="0.25">
      <c r="O23" s="181" t="s">
        <v>163</v>
      </c>
      <c r="P23" s="182"/>
    </row>
    <row r="24" spans="15:16" ht="15" customHeight="1" x14ac:dyDescent="0.25">
      <c r="O24" s="181" t="s">
        <v>164</v>
      </c>
      <c r="P24" s="182"/>
    </row>
    <row r="25" spans="15:16" ht="15" customHeight="1" x14ac:dyDescent="0.25">
      <c r="O25" s="181" t="s">
        <v>165</v>
      </c>
      <c r="P25" s="182"/>
    </row>
    <row r="26" spans="15:16" ht="15" customHeight="1" x14ac:dyDescent="0.25">
      <c r="O26" s="181" t="s">
        <v>166</v>
      </c>
      <c r="P26" s="182"/>
    </row>
    <row r="27" spans="15:16" ht="15" customHeight="1" x14ac:dyDescent="0.25">
      <c r="O27" s="181" t="s">
        <v>167</v>
      </c>
      <c r="P27" s="182"/>
    </row>
    <row r="28" spans="15:16" ht="15" customHeight="1" x14ac:dyDescent="0.25">
      <c r="O28" s="181" t="s">
        <v>168</v>
      </c>
      <c r="P28" s="182"/>
    </row>
    <row r="29" spans="15:16" ht="15" customHeight="1" thickBot="1" x14ac:dyDescent="0.3">
      <c r="O29" s="179" t="s">
        <v>169</v>
      </c>
      <c r="P29" s="180"/>
    </row>
    <row r="30" spans="15:16" ht="15.75" thickTop="1" x14ac:dyDescent="0.25"/>
  </sheetData>
  <mergeCells count="56">
    <mergeCell ref="O26:P26"/>
    <mergeCell ref="O27:P27"/>
    <mergeCell ref="O28:P28"/>
    <mergeCell ref="O29:P29"/>
    <mergeCell ref="O21:P21"/>
    <mergeCell ref="O22:P22"/>
    <mergeCell ref="O23:P23"/>
    <mergeCell ref="O24:P24"/>
    <mergeCell ref="O25:P25"/>
    <mergeCell ref="O16:P16"/>
    <mergeCell ref="O17:P17"/>
    <mergeCell ref="O18:P18"/>
    <mergeCell ref="O19:P19"/>
    <mergeCell ref="O20:P20"/>
    <mergeCell ref="O1:P1"/>
    <mergeCell ref="O2:P2"/>
    <mergeCell ref="O3:P3"/>
    <mergeCell ref="O4:P4"/>
    <mergeCell ref="O5:P5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A13:J13"/>
    <mergeCell ref="A14:J14"/>
    <mergeCell ref="C4:J4"/>
    <mergeCell ref="C9:J9"/>
    <mergeCell ref="C10:J10"/>
    <mergeCell ref="C11:J11"/>
    <mergeCell ref="D1:J3"/>
    <mergeCell ref="D5:J8"/>
    <mergeCell ref="A12:J12"/>
    <mergeCell ref="L1:M1"/>
    <mergeCell ref="L2:M2"/>
    <mergeCell ref="L6:M6"/>
    <mergeCell ref="U8:V8"/>
    <mergeCell ref="R6:S6"/>
    <mergeCell ref="R7:S7"/>
    <mergeCell ref="U1:V1"/>
    <mergeCell ref="U2:V2"/>
    <mergeCell ref="U3:V3"/>
    <mergeCell ref="U4:V4"/>
    <mergeCell ref="U5:V5"/>
    <mergeCell ref="U6:V6"/>
    <mergeCell ref="U7:V7"/>
    <mergeCell ref="R1:S1"/>
    <mergeCell ref="R2:S2"/>
    <mergeCell ref="R3:S3"/>
    <mergeCell ref="R4:S4"/>
    <mergeCell ref="R5:S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Karakterlap</vt:lpstr>
      <vt:lpstr>Szabályok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2021-04-26T16:33:31Z</dcterms:modified>
</cp:coreProperties>
</file>